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aff\Desktop\"/>
    </mc:Choice>
  </mc:AlternateContent>
  <xr:revisionPtr revIDLastSave="0" documentId="13_ncr:1_{44DC9408-0661-4AB0-A8B9-A2606A220C5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Feuil1" sheetId="1" r:id="rId1"/>
  </sheets>
  <definedNames>
    <definedName name="_xlnm.Print_Area" localSheetId="0">Feuil1!$A$1:$Y$28</definedName>
  </definedNames>
  <calcPr calcId="181029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7" i="1" l="1"/>
  <c r="C25" i="1"/>
  <c r="C28" i="1"/>
  <c r="C3" i="1"/>
  <c r="D3" i="1"/>
  <c r="P3" i="1"/>
  <c r="C4" i="1"/>
  <c r="D4" i="1"/>
  <c r="P4" i="1"/>
  <c r="C6" i="1"/>
  <c r="D6" i="1"/>
  <c r="P6" i="1"/>
  <c r="C5" i="1"/>
  <c r="D5" i="1"/>
  <c r="P5" i="1"/>
  <c r="C9" i="1"/>
  <c r="D9" i="1"/>
  <c r="P9" i="1"/>
  <c r="C7" i="1"/>
  <c r="D7" i="1"/>
  <c r="P7" i="1"/>
  <c r="C11" i="1"/>
  <c r="D11" i="1"/>
  <c r="P11" i="1"/>
  <c r="C8" i="1"/>
  <c r="D8" i="1"/>
  <c r="P8" i="1"/>
  <c r="C10" i="1"/>
  <c r="D10" i="1"/>
  <c r="P10" i="1"/>
  <c r="C12" i="1"/>
  <c r="D12" i="1"/>
  <c r="P12" i="1"/>
  <c r="C15" i="1"/>
  <c r="D15" i="1"/>
  <c r="P15" i="1"/>
  <c r="C13" i="1"/>
  <c r="D13" i="1"/>
  <c r="P13" i="1"/>
  <c r="D27" i="1"/>
  <c r="P27" i="1"/>
  <c r="D25" i="1"/>
  <c r="P25" i="1"/>
  <c r="D30" i="1"/>
  <c r="P30" i="1"/>
  <c r="D28" i="1"/>
  <c r="P28" i="1"/>
  <c r="O28" i="1"/>
  <c r="O11" i="1"/>
  <c r="O13" i="1"/>
  <c r="O27" i="1"/>
  <c r="O25" i="1"/>
  <c r="O30" i="1"/>
  <c r="M28" i="1"/>
  <c r="O6" i="1"/>
  <c r="O9" i="1"/>
  <c r="O10" i="1"/>
  <c r="O15" i="1"/>
  <c r="O4" i="1"/>
  <c r="M18" i="1"/>
  <c r="M26" i="1"/>
  <c r="O3" i="1"/>
  <c r="O12" i="1"/>
  <c r="O5" i="1"/>
  <c r="O8" i="1"/>
  <c r="O7" i="1"/>
  <c r="N28" i="1"/>
  <c r="N25" i="1"/>
  <c r="C17" i="1"/>
  <c r="D17" i="1"/>
  <c r="N17" i="1"/>
  <c r="N15" i="1"/>
  <c r="N12" i="1"/>
  <c r="N5" i="1"/>
  <c r="C16" i="1"/>
  <c r="D16" i="1"/>
  <c r="N16" i="1"/>
  <c r="N8" i="1"/>
  <c r="N11" i="1"/>
  <c r="N9" i="1"/>
  <c r="C14" i="1"/>
  <c r="D14" i="1"/>
  <c r="N14" i="1"/>
  <c r="N10" i="1"/>
  <c r="N7" i="1"/>
  <c r="N6" i="1"/>
  <c r="N4" i="1"/>
  <c r="N3" i="1"/>
  <c r="M7" i="1"/>
  <c r="M6" i="1"/>
  <c r="M3" i="1"/>
  <c r="M14" i="1"/>
  <c r="M12" i="1"/>
  <c r="M16" i="1"/>
  <c r="M25" i="1"/>
  <c r="M11" i="1"/>
  <c r="M9" i="1"/>
  <c r="M15" i="1"/>
  <c r="M10" i="1"/>
  <c r="M17" i="1"/>
  <c r="M4" i="1"/>
  <c r="M8" i="1"/>
  <c r="M5" i="1"/>
  <c r="C26" i="1"/>
  <c r="C24" i="1"/>
  <c r="C22" i="1"/>
  <c r="C21" i="1"/>
  <c r="D21" i="1"/>
  <c r="L21" i="1"/>
  <c r="L14" i="1"/>
  <c r="C20" i="1"/>
  <c r="D20" i="1"/>
  <c r="L20" i="1"/>
  <c r="L3" i="1"/>
  <c r="L13" i="1"/>
  <c r="L7" i="1"/>
  <c r="L6" i="1"/>
  <c r="L11" i="1"/>
  <c r="D22" i="1"/>
  <c r="L22" i="1"/>
  <c r="L8" i="1"/>
  <c r="D29" i="1"/>
  <c r="L29" i="1"/>
  <c r="L17" i="1"/>
  <c r="L16" i="1"/>
  <c r="L5" i="1"/>
  <c r="D24" i="1"/>
  <c r="L24" i="1"/>
  <c r="L12" i="1"/>
  <c r="L15" i="1"/>
  <c r="L4" i="1"/>
  <c r="C18" i="1"/>
  <c r="D18" i="1"/>
  <c r="L18" i="1"/>
  <c r="L9" i="1"/>
  <c r="L10" i="1"/>
  <c r="D26" i="1"/>
  <c r="L26" i="1"/>
  <c r="C19" i="1"/>
  <c r="D19" i="1"/>
  <c r="L19" i="1"/>
  <c r="L27" i="1"/>
  <c r="D31" i="1"/>
  <c r="L31" i="1"/>
  <c r="L25" i="1"/>
  <c r="D32" i="1"/>
  <c r="D33" i="1"/>
  <c r="D34" i="1"/>
  <c r="D35" i="1"/>
  <c r="D36" i="1"/>
  <c r="D37" i="1"/>
  <c r="D38" i="1"/>
  <c r="C23" i="1"/>
  <c r="D23" i="1"/>
  <c r="L23" i="1"/>
  <c r="K25" i="1"/>
  <c r="K23" i="1"/>
  <c r="K27" i="1"/>
  <c r="K13" i="1"/>
  <c r="K11" i="1"/>
  <c r="K5" i="1"/>
  <c r="K3" i="1"/>
  <c r="K16" i="1"/>
  <c r="K12" i="1"/>
  <c r="K14" i="1"/>
  <c r="K29" i="1"/>
  <c r="K8" i="1"/>
  <c r="K20" i="1"/>
  <c r="K19" i="1"/>
  <c r="K24" i="1"/>
  <c r="K21" i="1"/>
  <c r="K15" i="1"/>
  <c r="K4" i="1"/>
  <c r="K6" i="1"/>
  <c r="K10" i="1"/>
  <c r="K7" i="1"/>
  <c r="K9" i="1"/>
  <c r="K18" i="1"/>
  <c r="K31" i="1"/>
  <c r="K22" i="1"/>
  <c r="K26" i="1"/>
  <c r="K17" i="1"/>
  <c r="J21" i="1"/>
  <c r="J14" i="1"/>
  <c r="J20" i="1"/>
  <c r="J3" i="1"/>
  <c r="J13" i="1"/>
  <c r="J7" i="1"/>
  <c r="J6" i="1"/>
  <c r="J11" i="1"/>
  <c r="J22" i="1"/>
  <c r="J8" i="1"/>
  <c r="J17" i="1"/>
  <c r="J16" i="1"/>
  <c r="J5" i="1"/>
  <c r="J24" i="1"/>
  <c r="J12" i="1"/>
  <c r="J15" i="1"/>
  <c r="J4" i="1"/>
  <c r="J18" i="1"/>
  <c r="J9" i="1"/>
  <c r="J10" i="1"/>
  <c r="J26" i="1"/>
  <c r="J19" i="1"/>
  <c r="J27" i="1"/>
  <c r="H23" i="1"/>
  <c r="H21" i="1"/>
  <c r="H14" i="1"/>
  <c r="H20" i="1"/>
  <c r="H3" i="1"/>
  <c r="H13" i="1"/>
  <c r="H7" i="1"/>
  <c r="H6" i="1"/>
  <c r="H28" i="1"/>
  <c r="H11" i="1"/>
  <c r="H22" i="1"/>
  <c r="H8" i="1"/>
  <c r="H17" i="1"/>
  <c r="H16" i="1"/>
  <c r="H5" i="1"/>
  <c r="H24" i="1"/>
  <c r="H15" i="1"/>
  <c r="H4" i="1"/>
  <c r="H18" i="1"/>
  <c r="H9" i="1"/>
  <c r="H10" i="1"/>
  <c r="H26" i="1"/>
  <c r="H19" i="1"/>
  <c r="F29" i="1"/>
  <c r="F20" i="1"/>
  <c r="F3" i="1"/>
  <c r="F13" i="1"/>
  <c r="F7" i="1"/>
  <c r="F6" i="1"/>
  <c r="F11" i="1"/>
  <c r="F8" i="1"/>
  <c r="F16" i="1"/>
  <c r="F5" i="1"/>
  <c r="F12" i="1"/>
  <c r="F4" i="1"/>
  <c r="F18" i="1"/>
  <c r="F9" i="1"/>
  <c r="F10" i="1"/>
  <c r="F19" i="1"/>
  <c r="F23" i="1"/>
  <c r="F14" i="1"/>
  <c r="Y21" i="1"/>
  <c r="Y14" i="1"/>
  <c r="Y28" i="1"/>
  <c r="Y22" i="1"/>
  <c r="Y29" i="1"/>
  <c r="Y17" i="1"/>
  <c r="Y24" i="1"/>
  <c r="Y12" i="1"/>
  <c r="Y15" i="1"/>
  <c r="Y26" i="1"/>
  <c r="Y27" i="1"/>
  <c r="Y31" i="1"/>
  <c r="Y25" i="1"/>
  <c r="Y30" i="1"/>
  <c r="Y32" i="1"/>
  <c r="Y33" i="1"/>
  <c r="Y34" i="1"/>
  <c r="Y35" i="1"/>
  <c r="Y36" i="1"/>
  <c r="Y37" i="1"/>
  <c r="Y38" i="1"/>
  <c r="Y23" i="1"/>
  <c r="E14" i="1"/>
  <c r="G14" i="1"/>
  <c r="I14" i="1"/>
  <c r="E19" i="1"/>
  <c r="E10" i="1"/>
  <c r="E9" i="1"/>
  <c r="E18" i="1"/>
  <c r="E4" i="1"/>
  <c r="E12" i="1"/>
  <c r="E5" i="1"/>
  <c r="E16" i="1"/>
  <c r="E29" i="1"/>
  <c r="E8" i="1"/>
  <c r="E11" i="1"/>
  <c r="E6" i="1"/>
  <c r="E7" i="1"/>
  <c r="E13" i="1"/>
  <c r="E3" i="1"/>
  <c r="E20" i="1"/>
  <c r="E23" i="1"/>
  <c r="G20" i="1"/>
  <c r="I20" i="1"/>
  <c r="G3" i="1"/>
  <c r="I3" i="1"/>
  <c r="G13" i="1"/>
  <c r="I13" i="1"/>
  <c r="G7" i="1"/>
  <c r="I7" i="1"/>
  <c r="G6" i="1"/>
  <c r="I6" i="1"/>
  <c r="G11" i="1"/>
  <c r="I11" i="1"/>
  <c r="G8" i="1"/>
  <c r="I8" i="1"/>
  <c r="G16" i="1"/>
  <c r="I16" i="1"/>
  <c r="G5" i="1"/>
  <c r="I5" i="1"/>
  <c r="G4" i="1"/>
  <c r="I4" i="1"/>
  <c r="G18" i="1"/>
  <c r="I18" i="1"/>
  <c r="G9" i="1"/>
  <c r="I9" i="1"/>
  <c r="G10" i="1"/>
  <c r="I10" i="1"/>
  <c r="G19" i="1"/>
  <c r="I19" i="1"/>
  <c r="G21" i="1"/>
  <c r="I21" i="1"/>
  <c r="G28" i="1"/>
  <c r="G22" i="1"/>
  <c r="I22" i="1"/>
  <c r="G17" i="1"/>
  <c r="I17" i="1"/>
  <c r="G24" i="1"/>
  <c r="I24" i="1"/>
  <c r="I12" i="1"/>
  <c r="G15" i="1"/>
  <c r="I15" i="1"/>
  <c r="G26" i="1"/>
  <c r="I26" i="1"/>
  <c r="I27" i="1"/>
  <c r="G23" i="1"/>
  <c r="Y39" i="1"/>
  <c r="Y40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Y19" i="1"/>
  <c r="Y10" i="1"/>
  <c r="Y9" i="1"/>
  <c r="Y18" i="1"/>
  <c r="Y4" i="1"/>
  <c r="Y5" i="1"/>
  <c r="Y16" i="1"/>
  <c r="Y8" i="1"/>
  <c r="Y11" i="1"/>
  <c r="Y6" i="1"/>
  <c r="Y7" i="1"/>
  <c r="Y13" i="1"/>
  <c r="Y3" i="1"/>
  <c r="Y20" i="1"/>
</calcChain>
</file>

<file path=xl/sharedStrings.xml><?xml version="1.0" encoding="utf-8"?>
<sst xmlns="http://schemas.openxmlformats.org/spreadsheetml/2006/main" count="53" uniqueCount="35">
  <si>
    <t>Nbre joueurs</t>
    <phoneticPr fontId="4" type="noConversion"/>
  </si>
  <si>
    <t>%</t>
    <phoneticPr fontId="4" type="noConversion"/>
  </si>
  <si>
    <t>Claudine Subacchi</t>
  </si>
  <si>
    <t>Joëlle Bour</t>
  </si>
  <si>
    <t>Sylvie Sancho</t>
  </si>
  <si>
    <t>Fatima Sancho</t>
  </si>
  <si>
    <t>Pascal Malenfer</t>
  </si>
  <si>
    <t>Sylvain Guichard</t>
  </si>
  <si>
    <t>Evelyne Vieren</t>
  </si>
  <si>
    <t>Oscar Millich</t>
  </si>
  <si>
    <t>Didier Joachim</t>
  </si>
  <si>
    <t>Freddy Mary</t>
  </si>
  <si>
    <t>Roman Leskiv</t>
  </si>
  <si>
    <t>Michel Subacchi</t>
  </si>
  <si>
    <t>Alain Marpaud</t>
  </si>
  <si>
    <t>Josuha Rieira</t>
  </si>
  <si>
    <t>Zigzag</t>
  </si>
  <si>
    <t>Clemax</t>
  </si>
  <si>
    <t>André Yalicheff</t>
  </si>
  <si>
    <t>Pascal Dehorter</t>
  </si>
  <si>
    <t>Stephane G</t>
  </si>
  <si>
    <t>Michel Lafournière</t>
  </si>
  <si>
    <t>Fréderic Maurice</t>
  </si>
  <si>
    <t>Thimothée Maia</t>
  </si>
  <si>
    <t>Phu-si</t>
  </si>
  <si>
    <t>Jean-Pierre Massif</t>
  </si>
  <si>
    <t>Corentin Loisel</t>
  </si>
  <si>
    <t>Scratch</t>
  </si>
  <si>
    <t>Handicap</t>
  </si>
  <si>
    <t>HD</t>
  </si>
  <si>
    <t>Hd*4</t>
  </si>
  <si>
    <t>Luna</t>
  </si>
  <si>
    <t>Christophe M</t>
  </si>
  <si>
    <t>David ?</t>
  </si>
  <si>
    <t>Florian 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</si>
</sst>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18" x14ac:knownFonts="1">
    <font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6"/>
      <color indexed="12"/>
      <name val="Verdana"/>
    </font>
    <font>
      <b/>
      <sz val="8"/>
      <name val="Verdana"/>
    </font>
    <font>
      <sz val="10"/>
      <color indexed="10"/>
      <name val="Verdana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6"/>
      <color indexed="12"/>
      <name val="Verdana"/>
      <family val="2"/>
    </font>
    <font>
      <sz val="6"/>
      <color rgb="FF00B050"/>
      <name val="Verdana"/>
      <family val="2"/>
    </font>
    <font>
      <b/>
      <sz val="10"/>
      <color rgb="FF00B050"/>
      <name val="Verdana"/>
      <family val="2"/>
    </font>
    <font>
      <i/>
      <sz val="6"/>
      <color rgb="FF00B050"/>
      <name val="Verdana"/>
      <family val="2"/>
    </font>
    <font>
      <b/>
      <i/>
      <sz val="8"/>
      <color indexed="12"/>
      <name val="Verdana"/>
      <family val="2"/>
    </font>
    <font>
      <i/>
      <sz val="8"/>
      <name val="Verdana"/>
      <family val="2"/>
    </font>
    <font>
      <i/>
      <sz val="8"/>
      <color theme="0" tint="-0.499984740745262"/>
      <name val="Verdana"/>
      <family val="2"/>
    </font>
  </fonts>
  <fills count="6">
    <fill>
      <patternFill patternType="none"/>
    </fill>
    <fill>
      <patternFill patternType="gray125"/>
    </fill>
    <fill>
      <patternFill patternType="gray125">
        <fgColor indexed="44"/>
      </patternFill>
    </fill>
    <fill>
      <patternFill patternType="solid">
        <fgColor indexed="65"/>
        <bgColor indexed="44"/>
      </patternFill>
    </fill>
    <fill>
      <patternFill patternType="solid">
        <fgColor theme="0" tint="-0.14999847407452621"/>
        <bgColor indexed="44"/>
      </patternFill>
    </fill>
    <fill>
      <patternFill patternType="gray125">
        <fgColor indexed="44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3" xfId="0" applyBorder="1"/>
    <xf numFmtId="2" fontId="7" fillId="0" borderId="0" xfId="0" applyNumberFormat="1" applyFont="1"/>
    <xf numFmtId="0" fontId="8" fillId="0" borderId="3" xfId="0" applyFont="1" applyBorder="1"/>
    <xf numFmtId="0" fontId="8" fillId="0" borderId="4" xfId="0" applyFont="1" applyBorder="1"/>
    <xf numFmtId="0" fontId="5" fillId="0" borderId="1" xfId="0" applyFont="1" applyBorder="1"/>
    <xf numFmtId="0" fontId="10" fillId="0" borderId="3" xfId="0" applyFont="1" applyBorder="1"/>
    <xf numFmtId="0" fontId="13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/>
    <xf numFmtId="0" fontId="15" fillId="0" borderId="5" xfId="0" applyFont="1" applyBorder="1"/>
    <xf numFmtId="0" fontId="14" fillId="0" borderId="5" xfId="0" applyFont="1" applyBorder="1" applyAlignment="1">
      <alignment horizontal="center"/>
    </xf>
    <xf numFmtId="0" fontId="17" fillId="0" borderId="1" xfId="0" applyFont="1" applyBorder="1"/>
    <xf numFmtId="0" fontId="11" fillId="0" borderId="8" xfId="0" applyFont="1" applyBorder="1"/>
    <xf numFmtId="164" fontId="12" fillId="0" borderId="9" xfId="0" applyNumberFormat="1" applyFont="1" applyBorder="1"/>
    <xf numFmtId="0" fontId="8" fillId="4" borderId="8" xfId="0" applyFont="1" applyFill="1" applyBorder="1"/>
    <xf numFmtId="0" fontId="8" fillId="3" borderId="9" xfId="0" applyFont="1" applyFill="1" applyBorder="1"/>
    <xf numFmtId="0" fontId="8" fillId="4" borderId="10" xfId="0" applyFont="1" applyFill="1" applyBorder="1"/>
    <xf numFmtId="0" fontId="1" fillId="5" borderId="11" xfId="0" applyFont="1" applyFill="1" applyBorder="1"/>
    <xf numFmtId="0" fontId="8" fillId="3" borderId="12" xfId="0" applyFont="1" applyFill="1" applyBorder="1"/>
    <xf numFmtId="0" fontId="8" fillId="3" borderId="13" xfId="0" applyFont="1" applyFill="1" applyBorder="1"/>
    <xf numFmtId="0" fontId="1" fillId="2" borderId="12" xfId="0" applyFont="1" applyFill="1" applyBorder="1"/>
    <xf numFmtId="0" fontId="9" fillId="4" borderId="8" xfId="0" applyFont="1" applyFill="1" applyBorder="1"/>
    <xf numFmtId="0" fontId="9" fillId="3" borderId="9" xfId="0" applyFont="1" applyFill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Y62"/>
  <sheetViews>
    <sheetView tabSelected="1" view="pageLayout" topLeftCell="B1" workbookViewId="0">
      <selection activeCell="U9" sqref="U9"/>
    </sheetView>
  </sheetViews>
  <sheetFormatPr baseColWidth="10" defaultRowHeight="12.75" x14ac:dyDescent="0.2"/>
  <cols>
    <col min="1" max="1" width="3.375" customWidth="1"/>
    <col min="2" max="2" width="18.75" customWidth="1"/>
    <col min="3" max="3" width="7.25" style="13" bestFit="1" customWidth="1"/>
    <col min="4" max="4" width="4.125" style="14" bestFit="1" customWidth="1"/>
    <col min="5" max="5" width="4.875" customWidth="1"/>
    <col min="6" max="6" width="5" bestFit="1" customWidth="1"/>
    <col min="7" max="7" width="4.25" bestFit="1" customWidth="1"/>
    <col min="8" max="8" width="5" bestFit="1" customWidth="1"/>
    <col min="9" max="9" width="4.5" bestFit="1" customWidth="1"/>
    <col min="10" max="10" width="5" bestFit="1" customWidth="1"/>
    <col min="11" max="11" width="4.5" bestFit="1" customWidth="1"/>
    <col min="12" max="12" width="5" bestFit="1" customWidth="1"/>
    <col min="13" max="13" width="4.5" bestFit="1" customWidth="1"/>
    <col min="14" max="14" width="5" bestFit="1" customWidth="1"/>
    <col min="15" max="15" width="4.5" bestFit="1" customWidth="1"/>
    <col min="16" max="16" width="5" bestFit="1" customWidth="1"/>
    <col min="17" max="17" width="4.25" bestFit="1" customWidth="1"/>
    <col min="18" max="18" width="5" bestFit="1" customWidth="1"/>
    <col min="19" max="19" width="4.25" bestFit="1" customWidth="1"/>
    <col min="20" max="20" width="5" bestFit="1" customWidth="1"/>
    <col min="21" max="21" width="4.25" bestFit="1" customWidth="1"/>
    <col min="22" max="22" width="5" bestFit="1" customWidth="1"/>
    <col min="23" max="23" width="4.25" bestFit="1" customWidth="1"/>
    <col min="24" max="24" width="5" bestFit="1" customWidth="1"/>
    <col min="25" max="25" width="6.625" bestFit="1" customWidth="1"/>
  </cols>
  <sheetData>
    <row r="1" spans="1:25" ht="24.95" customHeight="1" x14ac:dyDescent="0.25">
      <c r="B1" s="33"/>
      <c r="C1" s="34"/>
      <c r="D1" s="15"/>
      <c r="E1" s="31">
        <v>43630</v>
      </c>
      <c r="F1" s="32"/>
      <c r="G1" s="31">
        <v>43637</v>
      </c>
      <c r="H1" s="32"/>
      <c r="I1" s="31">
        <v>43644</v>
      </c>
      <c r="J1" s="32"/>
      <c r="K1" s="31">
        <v>43651</v>
      </c>
      <c r="L1" s="32"/>
      <c r="M1" s="31">
        <v>43657</v>
      </c>
      <c r="N1" s="32"/>
      <c r="O1" s="31">
        <v>43665</v>
      </c>
      <c r="P1" s="32"/>
      <c r="Q1" s="31">
        <v>43672</v>
      </c>
      <c r="R1" s="32"/>
      <c r="S1" s="31">
        <v>43679</v>
      </c>
      <c r="T1" s="32"/>
      <c r="U1" s="31">
        <v>43700</v>
      </c>
      <c r="V1" s="32"/>
      <c r="W1" s="31">
        <v>43707</v>
      </c>
      <c r="X1" s="32"/>
      <c r="Y1" s="29"/>
    </row>
    <row r="2" spans="1:25" ht="24.95" customHeight="1" x14ac:dyDescent="0.25">
      <c r="B2" s="9"/>
      <c r="C2" s="11" t="s">
        <v>29</v>
      </c>
      <c r="D2" s="16" t="s">
        <v>30</v>
      </c>
      <c r="E2" s="18" t="s">
        <v>27</v>
      </c>
      <c r="F2" s="19" t="s">
        <v>28</v>
      </c>
      <c r="G2" s="18" t="s">
        <v>27</v>
      </c>
      <c r="H2" s="19" t="s">
        <v>28</v>
      </c>
      <c r="I2" s="18" t="s">
        <v>27</v>
      </c>
      <c r="J2" s="19" t="s">
        <v>28</v>
      </c>
      <c r="K2" s="18" t="s">
        <v>27</v>
      </c>
      <c r="L2" s="19" t="s">
        <v>28</v>
      </c>
      <c r="M2" s="18" t="s">
        <v>27</v>
      </c>
      <c r="N2" s="19" t="s">
        <v>28</v>
      </c>
      <c r="O2" s="18" t="s">
        <v>27</v>
      </c>
      <c r="P2" s="19" t="s">
        <v>28</v>
      </c>
      <c r="Q2" s="18" t="s">
        <v>27</v>
      </c>
      <c r="R2" s="19" t="s">
        <v>28</v>
      </c>
      <c r="S2" s="18" t="s">
        <v>27</v>
      </c>
      <c r="T2" s="19" t="s">
        <v>28</v>
      </c>
      <c r="U2" s="18" t="s">
        <v>27</v>
      </c>
      <c r="V2" s="19" t="s">
        <v>28</v>
      </c>
      <c r="W2" s="18" t="s">
        <v>27</v>
      </c>
      <c r="X2" s="19" t="s">
        <v>28</v>
      </c>
      <c r="Y2" s="29"/>
    </row>
    <row r="3" spans="1:25" x14ac:dyDescent="0.2">
      <c r="A3" s="1">
        <v>1</v>
      </c>
      <c r="B3" s="7" t="s">
        <v>26</v>
      </c>
      <c r="C3" s="12">
        <f t="shared" ref="C3:C11" si="0">ROUNDDOWN(((220-((E3+G3+I3)/12))*0.7),0)</f>
        <v>26</v>
      </c>
      <c r="D3" s="17">
        <f t="shared" ref="D3:D38" si="1">C3*4</f>
        <v>104</v>
      </c>
      <c r="E3" s="20">
        <f>161+201+192+203</f>
        <v>757</v>
      </c>
      <c r="F3" s="21">
        <f t="shared" ref="F3:F14" si="2">E3+D3</f>
        <v>861</v>
      </c>
      <c r="G3" s="20">
        <f>193+205+184+138</f>
        <v>720</v>
      </c>
      <c r="H3" s="21">
        <f t="shared" ref="H3:H11" si="3">G3+D3</f>
        <v>824</v>
      </c>
      <c r="I3" s="20">
        <f>205+166+190+151</f>
        <v>712</v>
      </c>
      <c r="J3" s="21">
        <f t="shared" ref="J3:J22" si="4">I3+D3</f>
        <v>816</v>
      </c>
      <c r="K3" s="20">
        <f>207+225+242+214</f>
        <v>888</v>
      </c>
      <c r="L3" s="21">
        <f t="shared" ref="L3:L27" si="5">K3+D3</f>
        <v>992</v>
      </c>
      <c r="M3" s="20">
        <f>167+187+236+216</f>
        <v>806</v>
      </c>
      <c r="N3" s="21">
        <f t="shared" ref="N3:N12" si="6">M3+D3</f>
        <v>910</v>
      </c>
      <c r="O3" s="20">
        <f>173+203+269+247</f>
        <v>892</v>
      </c>
      <c r="P3" s="21">
        <f t="shared" ref="P3:P13" si="7">O3+D3</f>
        <v>996</v>
      </c>
      <c r="Q3" s="20"/>
      <c r="R3" s="21"/>
      <c r="S3" s="20"/>
      <c r="T3" s="21"/>
      <c r="U3" s="20"/>
      <c r="V3" s="21"/>
      <c r="W3" s="27"/>
      <c r="X3" s="21"/>
      <c r="Y3" s="30">
        <f t="shared" ref="Y3:Y38" si="8">SUM(F3+H3+J3+L3+N3+P3+R3+T3+V3+X3)</f>
        <v>5399</v>
      </c>
    </row>
    <row r="4" spans="1:25" x14ac:dyDescent="0.2">
      <c r="A4" s="1">
        <f t="shared" ref="A4:A38" si="9">1+A3</f>
        <v>2</v>
      </c>
      <c r="B4" s="7" t="s">
        <v>12</v>
      </c>
      <c r="C4" s="12">
        <f t="shared" si="0"/>
        <v>25</v>
      </c>
      <c r="D4" s="17">
        <f t="shared" si="1"/>
        <v>100</v>
      </c>
      <c r="E4" s="20">
        <f>171+155+178+221</f>
        <v>725</v>
      </c>
      <c r="F4" s="21">
        <f t="shared" si="2"/>
        <v>825</v>
      </c>
      <c r="G4" s="20">
        <f>174+167+175+194</f>
        <v>710</v>
      </c>
      <c r="H4" s="21">
        <f t="shared" si="3"/>
        <v>810</v>
      </c>
      <c r="I4" s="20">
        <f>216+200+154+205</f>
        <v>775</v>
      </c>
      <c r="J4" s="21">
        <f t="shared" si="4"/>
        <v>875</v>
      </c>
      <c r="K4" s="20">
        <f>161+177+223+235</f>
        <v>796</v>
      </c>
      <c r="L4" s="21">
        <f t="shared" si="5"/>
        <v>896</v>
      </c>
      <c r="M4" s="20">
        <f>249+209+139+172</f>
        <v>769</v>
      </c>
      <c r="N4" s="21">
        <f t="shared" si="6"/>
        <v>869</v>
      </c>
      <c r="O4" s="20">
        <f>163+174+172+224</f>
        <v>733</v>
      </c>
      <c r="P4" s="21">
        <f t="shared" si="7"/>
        <v>833</v>
      </c>
      <c r="Q4" s="20"/>
      <c r="R4" s="21"/>
      <c r="S4" s="20"/>
      <c r="T4" s="21"/>
      <c r="U4" s="20"/>
      <c r="V4" s="21"/>
      <c r="W4" s="20"/>
      <c r="X4" s="21"/>
      <c r="Y4" s="30">
        <f t="shared" si="8"/>
        <v>5108</v>
      </c>
    </row>
    <row r="5" spans="1:25" x14ac:dyDescent="0.2">
      <c r="A5" s="1">
        <f t="shared" si="9"/>
        <v>3</v>
      </c>
      <c r="B5" s="7" t="s">
        <v>9</v>
      </c>
      <c r="C5" s="12">
        <f t="shared" si="0"/>
        <v>51</v>
      </c>
      <c r="D5" s="17">
        <f t="shared" si="1"/>
        <v>204</v>
      </c>
      <c r="E5" s="20">
        <f>152+140+198+171</f>
        <v>661</v>
      </c>
      <c r="F5" s="21">
        <f t="shared" si="2"/>
        <v>865</v>
      </c>
      <c r="G5" s="20">
        <f>157+160+107+122</f>
        <v>546</v>
      </c>
      <c r="H5" s="21">
        <f t="shared" si="3"/>
        <v>750</v>
      </c>
      <c r="I5" s="20">
        <f>169+123+137+121</f>
        <v>550</v>
      </c>
      <c r="J5" s="21">
        <f t="shared" si="4"/>
        <v>754</v>
      </c>
      <c r="K5" s="20">
        <f>164+178+157+136</f>
        <v>635</v>
      </c>
      <c r="L5" s="21">
        <f t="shared" si="5"/>
        <v>839</v>
      </c>
      <c r="M5" s="20">
        <f>159+189+182+151</f>
        <v>681</v>
      </c>
      <c r="N5" s="21">
        <f t="shared" si="6"/>
        <v>885</v>
      </c>
      <c r="O5" s="20">
        <f>212+192+181+175</f>
        <v>760</v>
      </c>
      <c r="P5" s="21">
        <f t="shared" si="7"/>
        <v>964</v>
      </c>
      <c r="Q5" s="20"/>
      <c r="R5" s="21"/>
      <c r="S5" s="20"/>
      <c r="T5" s="21"/>
      <c r="U5" s="20"/>
      <c r="V5" s="21"/>
      <c r="W5" s="20"/>
      <c r="X5" s="21"/>
      <c r="Y5" s="30">
        <f t="shared" si="8"/>
        <v>5057</v>
      </c>
    </row>
    <row r="6" spans="1:25" x14ac:dyDescent="0.2">
      <c r="A6" s="1">
        <f t="shared" si="9"/>
        <v>4</v>
      </c>
      <c r="B6" s="7" t="s">
        <v>5</v>
      </c>
      <c r="C6" s="12">
        <f t="shared" si="0"/>
        <v>34</v>
      </c>
      <c r="D6" s="17">
        <f t="shared" si="1"/>
        <v>136</v>
      </c>
      <c r="E6" s="20">
        <f>141+158+200+183</f>
        <v>682</v>
      </c>
      <c r="F6" s="21">
        <f t="shared" si="2"/>
        <v>818</v>
      </c>
      <c r="G6" s="20">
        <f>160+179+135+179</f>
        <v>653</v>
      </c>
      <c r="H6" s="21">
        <f t="shared" si="3"/>
        <v>789</v>
      </c>
      <c r="I6" s="20">
        <f>154+194+182+185</f>
        <v>715</v>
      </c>
      <c r="J6" s="21">
        <f t="shared" si="4"/>
        <v>851</v>
      </c>
      <c r="K6" s="20">
        <f>157+146+174+190</f>
        <v>667</v>
      </c>
      <c r="L6" s="21">
        <f t="shared" si="5"/>
        <v>803</v>
      </c>
      <c r="M6" s="20">
        <f>170+170+175+235</f>
        <v>750</v>
      </c>
      <c r="N6" s="21">
        <f t="shared" si="6"/>
        <v>886</v>
      </c>
      <c r="O6" s="20">
        <f>159+222+170+165</f>
        <v>716</v>
      </c>
      <c r="P6" s="21">
        <f t="shared" si="7"/>
        <v>852</v>
      </c>
      <c r="Q6" s="20"/>
      <c r="R6" s="21"/>
      <c r="S6" s="20"/>
      <c r="T6" s="21"/>
      <c r="U6" s="20"/>
      <c r="V6" s="21"/>
      <c r="W6" s="27"/>
      <c r="X6" s="21"/>
      <c r="Y6" s="30">
        <f t="shared" si="8"/>
        <v>4999</v>
      </c>
    </row>
    <row r="7" spans="1:25" x14ac:dyDescent="0.2">
      <c r="A7" s="1">
        <f t="shared" si="9"/>
        <v>5</v>
      </c>
      <c r="B7" s="7" t="s">
        <v>8</v>
      </c>
      <c r="C7" s="12">
        <f t="shared" si="0"/>
        <v>37</v>
      </c>
      <c r="D7" s="17">
        <f t="shared" si="1"/>
        <v>148</v>
      </c>
      <c r="E7" s="20">
        <f>170+171+157+170</f>
        <v>668</v>
      </c>
      <c r="F7" s="21">
        <f t="shared" si="2"/>
        <v>816</v>
      </c>
      <c r="G7" s="20">
        <f>135+160+154+159</f>
        <v>608</v>
      </c>
      <c r="H7" s="21">
        <f t="shared" si="3"/>
        <v>756</v>
      </c>
      <c r="I7" s="20">
        <f>185+145+192+193</f>
        <v>715</v>
      </c>
      <c r="J7" s="21">
        <f t="shared" si="4"/>
        <v>863</v>
      </c>
      <c r="K7" s="20">
        <f>143+167+193+188</f>
        <v>691</v>
      </c>
      <c r="L7" s="21">
        <f t="shared" si="5"/>
        <v>839</v>
      </c>
      <c r="M7" s="20">
        <f>151+187+170+145</f>
        <v>653</v>
      </c>
      <c r="N7" s="21">
        <f t="shared" si="6"/>
        <v>801</v>
      </c>
      <c r="O7" s="20">
        <f>160+195+216+168</f>
        <v>739</v>
      </c>
      <c r="P7" s="21">
        <f t="shared" si="7"/>
        <v>887</v>
      </c>
      <c r="Q7" s="20"/>
      <c r="R7" s="21"/>
      <c r="S7" s="20"/>
      <c r="T7" s="21"/>
      <c r="U7" s="20"/>
      <c r="V7" s="21"/>
      <c r="W7" s="20"/>
      <c r="X7" s="21"/>
      <c r="Y7" s="30">
        <f t="shared" si="8"/>
        <v>4962</v>
      </c>
    </row>
    <row r="8" spans="1:25" x14ac:dyDescent="0.2">
      <c r="A8" s="1">
        <f t="shared" si="9"/>
        <v>6</v>
      </c>
      <c r="B8" s="7" t="s">
        <v>3</v>
      </c>
      <c r="C8" s="12">
        <f t="shared" si="0"/>
        <v>42</v>
      </c>
      <c r="D8" s="17">
        <f t="shared" si="1"/>
        <v>168</v>
      </c>
      <c r="E8" s="20">
        <f>132+157+158+167</f>
        <v>614</v>
      </c>
      <c r="F8" s="21">
        <f t="shared" si="2"/>
        <v>782</v>
      </c>
      <c r="G8" s="20">
        <f>147+156+160+156</f>
        <v>619</v>
      </c>
      <c r="H8" s="21">
        <f t="shared" si="3"/>
        <v>787</v>
      </c>
      <c r="I8" s="20">
        <f>180+160+178+164</f>
        <v>682</v>
      </c>
      <c r="J8" s="21">
        <f t="shared" si="4"/>
        <v>850</v>
      </c>
      <c r="K8" s="20">
        <f>167+159+118+178</f>
        <v>622</v>
      </c>
      <c r="L8" s="21">
        <f t="shared" si="5"/>
        <v>790</v>
      </c>
      <c r="M8" s="20">
        <f>169+170+180+170</f>
        <v>689</v>
      </c>
      <c r="N8" s="21">
        <f t="shared" si="6"/>
        <v>857</v>
      </c>
      <c r="O8" s="20">
        <f>148+201+180+159</f>
        <v>688</v>
      </c>
      <c r="P8" s="21">
        <f t="shared" si="7"/>
        <v>856</v>
      </c>
      <c r="Q8" s="20"/>
      <c r="R8" s="21"/>
      <c r="S8" s="20"/>
      <c r="T8" s="21"/>
      <c r="U8" s="20"/>
      <c r="V8" s="21"/>
      <c r="W8" s="20"/>
      <c r="X8" s="28"/>
      <c r="Y8" s="30">
        <f t="shared" si="8"/>
        <v>4922</v>
      </c>
    </row>
    <row r="9" spans="1:25" x14ac:dyDescent="0.2">
      <c r="A9" s="1">
        <f t="shared" si="9"/>
        <v>7</v>
      </c>
      <c r="B9" s="7" t="s">
        <v>7</v>
      </c>
      <c r="C9" s="12">
        <f t="shared" si="0"/>
        <v>34</v>
      </c>
      <c r="D9" s="17">
        <f t="shared" si="1"/>
        <v>136</v>
      </c>
      <c r="E9" s="20">
        <f>134+168+201+186</f>
        <v>689</v>
      </c>
      <c r="F9" s="21">
        <f t="shared" si="2"/>
        <v>825</v>
      </c>
      <c r="G9" s="20">
        <f>175+174+159+190</f>
        <v>698</v>
      </c>
      <c r="H9" s="21">
        <f t="shared" si="3"/>
        <v>834</v>
      </c>
      <c r="I9" s="20">
        <f>189+176+140+162</f>
        <v>667</v>
      </c>
      <c r="J9" s="21">
        <f t="shared" si="4"/>
        <v>803</v>
      </c>
      <c r="K9" s="20">
        <f>186+195+124+147</f>
        <v>652</v>
      </c>
      <c r="L9" s="21">
        <f t="shared" si="5"/>
        <v>788</v>
      </c>
      <c r="M9" s="20">
        <f>148+144+213+186</f>
        <v>691</v>
      </c>
      <c r="N9" s="21">
        <f t="shared" si="6"/>
        <v>827</v>
      </c>
      <c r="O9" s="20">
        <f>155+181+167+186</f>
        <v>689</v>
      </c>
      <c r="P9" s="21">
        <f t="shared" si="7"/>
        <v>825</v>
      </c>
      <c r="Q9" s="20"/>
      <c r="R9" s="21"/>
      <c r="S9" s="20"/>
      <c r="T9" s="21"/>
      <c r="U9" s="20"/>
      <c r="V9" s="21"/>
      <c r="W9" s="20"/>
      <c r="X9" s="21"/>
      <c r="Y9" s="30">
        <f t="shared" si="8"/>
        <v>4902</v>
      </c>
    </row>
    <row r="10" spans="1:25" x14ac:dyDescent="0.2">
      <c r="A10" s="1">
        <f t="shared" si="9"/>
        <v>8</v>
      </c>
      <c r="B10" s="7" t="s">
        <v>4</v>
      </c>
      <c r="C10" s="12">
        <f t="shared" si="0"/>
        <v>28</v>
      </c>
      <c r="D10" s="17">
        <f t="shared" si="1"/>
        <v>112</v>
      </c>
      <c r="E10" s="20">
        <f>183+188+202+147</f>
        <v>720</v>
      </c>
      <c r="F10" s="21">
        <f t="shared" si="2"/>
        <v>832</v>
      </c>
      <c r="G10" s="20">
        <f>212+168+161+201</f>
        <v>742</v>
      </c>
      <c r="H10" s="21">
        <f t="shared" si="3"/>
        <v>854</v>
      </c>
      <c r="I10" s="20">
        <f>158+174+211+150</f>
        <v>693</v>
      </c>
      <c r="J10" s="21">
        <f t="shared" si="4"/>
        <v>805</v>
      </c>
      <c r="K10" s="20">
        <f>173+180+182+189</f>
        <v>724</v>
      </c>
      <c r="L10" s="21">
        <f t="shared" si="5"/>
        <v>836</v>
      </c>
      <c r="M10" s="20">
        <f>116+169+127+149</f>
        <v>561</v>
      </c>
      <c r="N10" s="21">
        <f t="shared" si="6"/>
        <v>673</v>
      </c>
      <c r="O10" s="20">
        <f>179+171+161+181</f>
        <v>692</v>
      </c>
      <c r="P10" s="21">
        <f t="shared" si="7"/>
        <v>804</v>
      </c>
      <c r="Q10" s="20"/>
      <c r="R10" s="21"/>
      <c r="S10" s="27"/>
      <c r="T10" s="28"/>
      <c r="U10" s="20"/>
      <c r="V10" s="21"/>
      <c r="W10" s="20"/>
      <c r="X10" s="21"/>
      <c r="Y10" s="30">
        <f t="shared" si="8"/>
        <v>4804</v>
      </c>
    </row>
    <row r="11" spans="1:25" x14ac:dyDescent="0.2">
      <c r="A11" s="1">
        <f t="shared" si="9"/>
        <v>9</v>
      </c>
      <c r="B11" s="7" t="s">
        <v>11</v>
      </c>
      <c r="C11" s="12">
        <f t="shared" si="0"/>
        <v>49</v>
      </c>
      <c r="D11" s="17">
        <f t="shared" si="1"/>
        <v>196</v>
      </c>
      <c r="E11" s="20">
        <f>122+157+181+154</f>
        <v>614</v>
      </c>
      <c r="F11" s="21">
        <f t="shared" si="2"/>
        <v>810</v>
      </c>
      <c r="G11" s="20">
        <f>158+122+181+136</f>
        <v>597</v>
      </c>
      <c r="H11" s="21">
        <f t="shared" si="3"/>
        <v>793</v>
      </c>
      <c r="I11" s="20">
        <f>150+173+124+128</f>
        <v>575</v>
      </c>
      <c r="J11" s="21">
        <f t="shared" si="4"/>
        <v>771</v>
      </c>
      <c r="K11" s="20">
        <f>191+143+140+194</f>
        <v>668</v>
      </c>
      <c r="L11" s="21">
        <f t="shared" si="5"/>
        <v>864</v>
      </c>
      <c r="M11" s="20">
        <f>142+172+171+154</f>
        <v>639</v>
      </c>
      <c r="N11" s="21">
        <f t="shared" si="6"/>
        <v>835</v>
      </c>
      <c r="O11" s="20">
        <f>114+150+139+130</f>
        <v>533</v>
      </c>
      <c r="P11" s="21">
        <f t="shared" si="7"/>
        <v>729</v>
      </c>
      <c r="Q11" s="20"/>
      <c r="R11" s="21"/>
      <c r="S11" s="20"/>
      <c r="T11" s="21"/>
      <c r="U11" s="20"/>
      <c r="V11" s="21"/>
      <c r="W11" s="20"/>
      <c r="X11" s="21"/>
      <c r="Y11" s="30">
        <f t="shared" si="8"/>
        <v>4802</v>
      </c>
    </row>
    <row r="12" spans="1:25" x14ac:dyDescent="0.2">
      <c r="A12" s="1">
        <f t="shared" si="9"/>
        <v>10</v>
      </c>
      <c r="B12" s="7" t="s">
        <v>6</v>
      </c>
      <c r="C12" s="12">
        <f>ROUNDDOWN(((220-((E12+K12+I12)/12))*0.7),0)</f>
        <v>32</v>
      </c>
      <c r="D12" s="17">
        <f t="shared" si="1"/>
        <v>128</v>
      </c>
      <c r="E12" s="20">
        <f>193+141+163+170</f>
        <v>667</v>
      </c>
      <c r="F12" s="21">
        <f t="shared" si="2"/>
        <v>795</v>
      </c>
      <c r="G12" s="20"/>
      <c r="H12" s="21"/>
      <c r="I12" s="20">
        <f>152+174+175+165</f>
        <v>666</v>
      </c>
      <c r="J12" s="21">
        <f t="shared" si="4"/>
        <v>794</v>
      </c>
      <c r="K12" s="20">
        <f>177+174+201+190</f>
        <v>742</v>
      </c>
      <c r="L12" s="21">
        <f t="shared" si="5"/>
        <v>870</v>
      </c>
      <c r="M12" s="20">
        <f>213+162+225+233</f>
        <v>833</v>
      </c>
      <c r="N12" s="21">
        <f t="shared" si="6"/>
        <v>961</v>
      </c>
      <c r="O12" s="20">
        <f>195+176+152+219</f>
        <v>742</v>
      </c>
      <c r="P12" s="21">
        <f t="shared" si="7"/>
        <v>870</v>
      </c>
      <c r="Q12" s="20"/>
      <c r="R12" s="21"/>
      <c r="S12" s="20"/>
      <c r="T12" s="21"/>
      <c r="U12" s="27"/>
      <c r="V12" s="28"/>
      <c r="W12" s="27"/>
      <c r="X12" s="21"/>
      <c r="Y12" s="30">
        <f t="shared" si="8"/>
        <v>4290</v>
      </c>
    </row>
    <row r="13" spans="1:25" x14ac:dyDescent="0.2">
      <c r="A13" s="1">
        <f t="shared" si="9"/>
        <v>11</v>
      </c>
      <c r="B13" s="7" t="s">
        <v>10</v>
      </c>
      <c r="C13" s="12">
        <f>ROUNDDOWN(((220-((E13+G13+I13)/12))*0.7),0)</f>
        <v>55</v>
      </c>
      <c r="D13" s="17">
        <f t="shared" si="1"/>
        <v>220</v>
      </c>
      <c r="E13" s="20">
        <f>118+159+151+134</f>
        <v>562</v>
      </c>
      <c r="F13" s="21">
        <f t="shared" si="2"/>
        <v>782</v>
      </c>
      <c r="G13" s="20">
        <f>112+158+114+167</f>
        <v>551</v>
      </c>
      <c r="H13" s="21">
        <f t="shared" ref="H13:H24" si="10">G13+D13</f>
        <v>771</v>
      </c>
      <c r="I13" s="20">
        <f>145+146+154+125</f>
        <v>570</v>
      </c>
      <c r="J13" s="21">
        <f t="shared" si="4"/>
        <v>790</v>
      </c>
      <c r="K13" s="20">
        <f>158+191+155+150</f>
        <v>654</v>
      </c>
      <c r="L13" s="21">
        <f t="shared" si="5"/>
        <v>874</v>
      </c>
      <c r="M13" s="20"/>
      <c r="N13" s="21"/>
      <c r="O13" s="20">
        <f>140+165+168+196</f>
        <v>669</v>
      </c>
      <c r="P13" s="21">
        <f t="shared" si="7"/>
        <v>889</v>
      </c>
      <c r="Q13" s="20"/>
      <c r="R13" s="21"/>
      <c r="S13" s="20"/>
      <c r="T13" s="21"/>
      <c r="U13" s="20"/>
      <c r="V13" s="21"/>
      <c r="W13" s="20"/>
      <c r="X13" s="21"/>
      <c r="Y13" s="30">
        <f t="shared" si="8"/>
        <v>4106</v>
      </c>
    </row>
    <row r="14" spans="1:25" x14ac:dyDescent="0.2">
      <c r="A14" s="1">
        <f t="shared" si="9"/>
        <v>12</v>
      </c>
      <c r="B14" s="7" t="s">
        <v>2</v>
      </c>
      <c r="C14" s="12">
        <f>ROUNDDOWN(((220-((E14+G14+I14)/12))*0.7),0)</f>
        <v>46</v>
      </c>
      <c r="D14" s="17">
        <f t="shared" si="1"/>
        <v>184</v>
      </c>
      <c r="E14" s="20">
        <f>128+153+147+164</f>
        <v>592</v>
      </c>
      <c r="F14" s="21">
        <f t="shared" si="2"/>
        <v>776</v>
      </c>
      <c r="G14" s="20">
        <f>176+188+149+148</f>
        <v>661</v>
      </c>
      <c r="H14" s="21">
        <f t="shared" si="10"/>
        <v>845</v>
      </c>
      <c r="I14" s="20">
        <f>150+158+168+118</f>
        <v>594</v>
      </c>
      <c r="J14" s="21">
        <f t="shared" si="4"/>
        <v>778</v>
      </c>
      <c r="K14" s="20">
        <f>172+170+159+167</f>
        <v>668</v>
      </c>
      <c r="L14" s="21">
        <f t="shared" si="5"/>
        <v>852</v>
      </c>
      <c r="M14" s="20">
        <f>149+170+167+181</f>
        <v>667</v>
      </c>
      <c r="N14" s="21">
        <f>M14+D14</f>
        <v>851</v>
      </c>
      <c r="O14" s="20"/>
      <c r="P14" s="21"/>
      <c r="Q14" s="20"/>
      <c r="R14" s="21"/>
      <c r="S14" s="27"/>
      <c r="T14" s="28"/>
      <c r="U14" s="20"/>
      <c r="V14" s="21"/>
      <c r="W14" s="20"/>
      <c r="X14" s="21"/>
      <c r="Y14" s="30">
        <f t="shared" si="8"/>
        <v>4102</v>
      </c>
    </row>
    <row r="15" spans="1:25" x14ac:dyDescent="0.2">
      <c r="A15" s="1">
        <f t="shared" si="9"/>
        <v>13</v>
      </c>
      <c r="B15" s="7" t="s">
        <v>24</v>
      </c>
      <c r="C15" s="12">
        <f>ROUNDDOWN(((220-((K15+G15+I15)/12))*0.7),0)</f>
        <v>23</v>
      </c>
      <c r="D15" s="17">
        <f t="shared" si="1"/>
        <v>92</v>
      </c>
      <c r="E15" s="20"/>
      <c r="F15" s="21"/>
      <c r="G15" s="20">
        <f>181+140+201+223</f>
        <v>745</v>
      </c>
      <c r="H15" s="21">
        <f t="shared" si="10"/>
        <v>837</v>
      </c>
      <c r="I15" s="20">
        <f>182+175+157+158</f>
        <v>672</v>
      </c>
      <c r="J15" s="21">
        <f t="shared" si="4"/>
        <v>764</v>
      </c>
      <c r="K15" s="20">
        <f>233+174+181+229</f>
        <v>817</v>
      </c>
      <c r="L15" s="21">
        <f t="shared" si="5"/>
        <v>909</v>
      </c>
      <c r="M15" s="20">
        <f>177+180+177+179</f>
        <v>713</v>
      </c>
      <c r="N15" s="21">
        <f>M15+D15</f>
        <v>805</v>
      </c>
      <c r="O15" s="20">
        <f>151+151+172+174</f>
        <v>648</v>
      </c>
      <c r="P15" s="21">
        <f>O15+D15</f>
        <v>740</v>
      </c>
      <c r="Q15" s="20"/>
      <c r="R15" s="21"/>
      <c r="S15" s="20"/>
      <c r="T15" s="21"/>
      <c r="U15" s="20"/>
      <c r="V15" s="21"/>
      <c r="W15" s="20"/>
      <c r="X15" s="21"/>
      <c r="Y15" s="30">
        <f t="shared" si="8"/>
        <v>4055</v>
      </c>
    </row>
    <row r="16" spans="1:25" x14ac:dyDescent="0.2">
      <c r="A16" s="1">
        <f t="shared" si="9"/>
        <v>14</v>
      </c>
      <c r="B16" s="7" t="s">
        <v>13</v>
      </c>
      <c r="C16" s="12">
        <f>ROUNDDOWN(((220-((E16+G16+I16)/12))*0.7),0)</f>
        <v>41</v>
      </c>
      <c r="D16" s="17">
        <f t="shared" si="1"/>
        <v>164</v>
      </c>
      <c r="E16" s="20">
        <f>188+138+128+180</f>
        <v>634</v>
      </c>
      <c r="F16" s="21">
        <f>E16+D16</f>
        <v>798</v>
      </c>
      <c r="G16" s="20">
        <f>160+158+182+169</f>
        <v>669</v>
      </c>
      <c r="H16" s="21">
        <f t="shared" si="10"/>
        <v>833</v>
      </c>
      <c r="I16" s="20">
        <f>157+152+187+137</f>
        <v>633</v>
      </c>
      <c r="J16" s="21">
        <f t="shared" si="4"/>
        <v>797</v>
      </c>
      <c r="K16" s="20">
        <f>131+139+188+157</f>
        <v>615</v>
      </c>
      <c r="L16" s="21">
        <f t="shared" si="5"/>
        <v>779</v>
      </c>
      <c r="M16" s="20">
        <f>134+173+191+171</f>
        <v>669</v>
      </c>
      <c r="N16" s="21">
        <f>M16+D16</f>
        <v>833</v>
      </c>
      <c r="O16" s="20"/>
      <c r="P16" s="21"/>
      <c r="Q16" s="20"/>
      <c r="R16" s="21"/>
      <c r="S16" s="20"/>
      <c r="T16" s="21"/>
      <c r="U16" s="27"/>
      <c r="V16" s="28"/>
      <c r="W16" s="20"/>
      <c r="X16" s="21"/>
      <c r="Y16" s="30">
        <f t="shared" si="8"/>
        <v>4040</v>
      </c>
    </row>
    <row r="17" spans="1:25" x14ac:dyDescent="0.2">
      <c r="A17" s="1">
        <f t="shared" si="9"/>
        <v>15</v>
      </c>
      <c r="B17" s="7" t="s">
        <v>21</v>
      </c>
      <c r="C17" s="12">
        <f>ROUNDDOWN(((220-((K17+G17+I17)/12))*0.7),0)</f>
        <v>34</v>
      </c>
      <c r="D17" s="17">
        <f t="shared" si="1"/>
        <v>136</v>
      </c>
      <c r="E17" s="20"/>
      <c r="F17" s="21"/>
      <c r="G17" s="20">
        <f>176+150+199+145</f>
        <v>670</v>
      </c>
      <c r="H17" s="21">
        <f t="shared" si="10"/>
        <v>806</v>
      </c>
      <c r="I17" s="20">
        <f>175+166+173+218</f>
        <v>732</v>
      </c>
      <c r="J17" s="21">
        <f t="shared" si="4"/>
        <v>868</v>
      </c>
      <c r="K17" s="20">
        <f>162+152+143+188</f>
        <v>645</v>
      </c>
      <c r="L17" s="21">
        <f t="shared" si="5"/>
        <v>781</v>
      </c>
      <c r="M17" s="20">
        <f>180+217+155+176</f>
        <v>728</v>
      </c>
      <c r="N17" s="21">
        <f>M17+D17</f>
        <v>864</v>
      </c>
      <c r="O17" s="20"/>
      <c r="P17" s="21"/>
      <c r="Q17" s="20"/>
      <c r="R17" s="21"/>
      <c r="S17" s="20"/>
      <c r="T17" s="21"/>
      <c r="U17" s="20"/>
      <c r="V17" s="21"/>
      <c r="W17" s="20"/>
      <c r="X17" s="21"/>
      <c r="Y17" s="30">
        <f t="shared" si="8"/>
        <v>3319</v>
      </c>
    </row>
    <row r="18" spans="1:25" x14ac:dyDescent="0.2">
      <c r="A18" s="1">
        <f t="shared" si="9"/>
        <v>16</v>
      </c>
      <c r="B18" s="10" t="s">
        <v>20</v>
      </c>
      <c r="C18" s="12">
        <f>ROUNDDOWN(((220-((E18+G18+I18)/12))*0.7),0)</f>
        <v>36</v>
      </c>
      <c r="D18" s="17">
        <f t="shared" si="1"/>
        <v>144</v>
      </c>
      <c r="E18" s="20">
        <f>151+168+186+148</f>
        <v>653</v>
      </c>
      <c r="F18" s="21">
        <f>E18+D18</f>
        <v>797</v>
      </c>
      <c r="G18" s="20">
        <f>145+172+188+155</f>
        <v>660</v>
      </c>
      <c r="H18" s="21">
        <f t="shared" si="10"/>
        <v>804</v>
      </c>
      <c r="I18" s="20">
        <f>187+148+202+165</f>
        <v>702</v>
      </c>
      <c r="J18" s="21">
        <f t="shared" si="4"/>
        <v>846</v>
      </c>
      <c r="K18" s="20">
        <f>213+167+131+159</f>
        <v>670</v>
      </c>
      <c r="L18" s="21">
        <f t="shared" si="5"/>
        <v>814</v>
      </c>
      <c r="M18" s="20">
        <f>176+193+158+157</f>
        <v>684</v>
      </c>
      <c r="N18" s="21"/>
      <c r="O18" s="20"/>
      <c r="P18" s="21"/>
      <c r="Q18" s="20"/>
      <c r="R18" s="21"/>
      <c r="S18" s="20"/>
      <c r="T18" s="21"/>
      <c r="U18" s="20"/>
      <c r="V18" s="21"/>
      <c r="W18" s="20"/>
      <c r="X18" s="21"/>
      <c r="Y18" s="30">
        <f t="shared" si="8"/>
        <v>3261</v>
      </c>
    </row>
    <row r="19" spans="1:25" x14ac:dyDescent="0.2">
      <c r="A19" s="1">
        <f t="shared" si="9"/>
        <v>17</v>
      </c>
      <c r="B19" s="7" t="s">
        <v>16</v>
      </c>
      <c r="C19" s="12">
        <f>ROUNDDOWN(((220-((E19+G19+I19)/12))*0.7),0)</f>
        <v>57</v>
      </c>
      <c r="D19" s="17">
        <f t="shared" si="1"/>
        <v>228</v>
      </c>
      <c r="E19" s="20">
        <f>138+113+170+105</f>
        <v>526</v>
      </c>
      <c r="F19" s="21">
        <f>E19+D19</f>
        <v>754</v>
      </c>
      <c r="G19" s="20">
        <f>137+159+109+149</f>
        <v>554</v>
      </c>
      <c r="H19" s="21">
        <f t="shared" si="10"/>
        <v>782</v>
      </c>
      <c r="I19" s="20">
        <f>123+140+147+162</f>
        <v>572</v>
      </c>
      <c r="J19" s="21">
        <f t="shared" si="4"/>
        <v>800</v>
      </c>
      <c r="K19" s="20">
        <f>225+139+197+115</f>
        <v>676</v>
      </c>
      <c r="L19" s="21">
        <f t="shared" si="5"/>
        <v>904</v>
      </c>
      <c r="M19" s="20"/>
      <c r="N19" s="21"/>
      <c r="O19" s="20"/>
      <c r="P19" s="21"/>
      <c r="Q19" s="20"/>
      <c r="R19" s="21"/>
      <c r="S19" s="20"/>
      <c r="T19" s="21"/>
      <c r="U19" s="20"/>
      <c r="V19" s="21"/>
      <c r="W19" s="20"/>
      <c r="X19" s="21"/>
      <c r="Y19" s="30">
        <f t="shared" si="8"/>
        <v>3240</v>
      </c>
    </row>
    <row r="20" spans="1:25" x14ac:dyDescent="0.2">
      <c r="A20" s="1">
        <f t="shared" si="9"/>
        <v>18</v>
      </c>
      <c r="B20" s="7" t="s">
        <v>17</v>
      </c>
      <c r="C20" s="12">
        <f>ROUNDDOWN(((220-((E20+G20+I20)/12))*0.7),0)</f>
        <v>65</v>
      </c>
      <c r="D20" s="17">
        <f t="shared" si="1"/>
        <v>260</v>
      </c>
      <c r="E20" s="20">
        <f>125+167+130+124</f>
        <v>546</v>
      </c>
      <c r="F20" s="21">
        <f>E20+D20</f>
        <v>806</v>
      </c>
      <c r="G20" s="20">
        <f>112+161+130+123</f>
        <v>526</v>
      </c>
      <c r="H20" s="21">
        <f t="shared" si="10"/>
        <v>786</v>
      </c>
      <c r="I20" s="20">
        <f>77+115+140+107</f>
        <v>439</v>
      </c>
      <c r="J20" s="21">
        <f t="shared" si="4"/>
        <v>699</v>
      </c>
      <c r="K20" s="20">
        <f>142+109+130+140</f>
        <v>521</v>
      </c>
      <c r="L20" s="21">
        <f t="shared" si="5"/>
        <v>781</v>
      </c>
      <c r="M20" s="20"/>
      <c r="N20" s="21"/>
      <c r="O20" s="20"/>
      <c r="P20" s="21"/>
      <c r="Q20" s="20"/>
      <c r="R20" s="21"/>
      <c r="S20" s="20"/>
      <c r="T20" s="21"/>
      <c r="U20" s="20"/>
      <c r="V20" s="21"/>
      <c r="W20" s="20"/>
      <c r="X20" s="21"/>
      <c r="Y20" s="30">
        <f t="shared" si="8"/>
        <v>3072</v>
      </c>
    </row>
    <row r="21" spans="1:25" x14ac:dyDescent="0.2">
      <c r="A21" s="1">
        <f t="shared" si="9"/>
        <v>19</v>
      </c>
      <c r="B21" s="7" t="s">
        <v>18</v>
      </c>
      <c r="C21" s="12">
        <f>ROUNDDOWN(((220-((K21+G21+I21)/12))*0.7),0)</f>
        <v>20</v>
      </c>
      <c r="D21" s="17">
        <f t="shared" si="1"/>
        <v>80</v>
      </c>
      <c r="E21" s="20"/>
      <c r="F21" s="21"/>
      <c r="G21" s="20">
        <f>154+190+168+174</f>
        <v>686</v>
      </c>
      <c r="H21" s="21">
        <f t="shared" si="10"/>
        <v>766</v>
      </c>
      <c r="I21" s="20">
        <f>212+214+154+200</f>
        <v>780</v>
      </c>
      <c r="J21" s="21">
        <f t="shared" si="4"/>
        <v>860</v>
      </c>
      <c r="K21" s="20">
        <f>214+171+211+230</f>
        <v>826</v>
      </c>
      <c r="L21" s="21">
        <f t="shared" si="5"/>
        <v>906</v>
      </c>
      <c r="M21" s="20"/>
      <c r="N21" s="21"/>
      <c r="O21" s="20"/>
      <c r="P21" s="21"/>
      <c r="Q21" s="20"/>
      <c r="R21" s="21"/>
      <c r="S21" s="20"/>
      <c r="T21" s="21"/>
      <c r="U21" s="20"/>
      <c r="V21" s="21"/>
      <c r="W21" s="20"/>
      <c r="X21" s="21"/>
      <c r="Y21" s="30">
        <f t="shared" si="8"/>
        <v>2532</v>
      </c>
    </row>
    <row r="22" spans="1:25" x14ac:dyDescent="0.2">
      <c r="A22" s="1">
        <f t="shared" si="9"/>
        <v>20</v>
      </c>
      <c r="B22" s="7" t="s">
        <v>22</v>
      </c>
      <c r="C22" s="12">
        <f>ROUNDDOWN(((220-((K22+G22+I22)/12))*0.7),0)</f>
        <v>29</v>
      </c>
      <c r="D22" s="17">
        <f t="shared" si="1"/>
        <v>116</v>
      </c>
      <c r="E22" s="20"/>
      <c r="F22" s="21"/>
      <c r="G22" s="20">
        <f>172+178+191+156</f>
        <v>697</v>
      </c>
      <c r="H22" s="21">
        <f t="shared" si="10"/>
        <v>813</v>
      </c>
      <c r="I22" s="20">
        <f>167+170+201+168</f>
        <v>706</v>
      </c>
      <c r="J22" s="21">
        <f t="shared" si="4"/>
        <v>822</v>
      </c>
      <c r="K22" s="20">
        <f>222+135+186+188</f>
        <v>731</v>
      </c>
      <c r="L22" s="21">
        <f t="shared" si="5"/>
        <v>847</v>
      </c>
      <c r="M22" s="20"/>
      <c r="N22" s="21"/>
      <c r="O22" s="20"/>
      <c r="P22" s="21"/>
      <c r="Q22" s="20"/>
      <c r="R22" s="21"/>
      <c r="S22" s="20"/>
      <c r="T22" s="21"/>
      <c r="U22" s="20"/>
      <c r="V22" s="21"/>
      <c r="W22" s="20"/>
      <c r="X22" s="21"/>
      <c r="Y22" s="30">
        <f t="shared" si="8"/>
        <v>2482</v>
      </c>
    </row>
    <row r="23" spans="1:25" x14ac:dyDescent="0.2">
      <c r="A23" s="1">
        <f t="shared" si="9"/>
        <v>21</v>
      </c>
      <c r="B23" s="7" t="s">
        <v>14</v>
      </c>
      <c r="C23" s="12">
        <f>ROUNDDOWN(((220-((E23+G23+K23)/12))*0.7),0)</f>
        <v>31</v>
      </c>
      <c r="D23" s="17">
        <f t="shared" si="1"/>
        <v>124</v>
      </c>
      <c r="E23" s="20">
        <f>155+134+150+158</f>
        <v>597</v>
      </c>
      <c r="F23" s="21">
        <f>E23+D23</f>
        <v>721</v>
      </c>
      <c r="G23" s="20">
        <f>173+174+206+168</f>
        <v>721</v>
      </c>
      <c r="H23" s="21">
        <f t="shared" si="10"/>
        <v>845</v>
      </c>
      <c r="I23" s="20"/>
      <c r="J23" s="21"/>
      <c r="K23" s="20">
        <f>194+171+173+247</f>
        <v>785</v>
      </c>
      <c r="L23" s="21">
        <f t="shared" si="5"/>
        <v>909</v>
      </c>
      <c r="M23" s="20"/>
      <c r="N23" s="21"/>
      <c r="O23" s="20"/>
      <c r="P23" s="21"/>
      <c r="Q23" s="20"/>
      <c r="R23" s="21"/>
      <c r="S23" s="20"/>
      <c r="T23" s="21"/>
      <c r="U23" s="20"/>
      <c r="V23" s="21"/>
      <c r="W23" s="20"/>
      <c r="X23" s="21"/>
      <c r="Y23" s="30">
        <f t="shared" si="8"/>
        <v>2475</v>
      </c>
    </row>
    <row r="24" spans="1:25" x14ac:dyDescent="0.2">
      <c r="A24" s="1">
        <f t="shared" si="9"/>
        <v>22</v>
      </c>
      <c r="B24" s="7" t="s">
        <v>19</v>
      </c>
      <c r="C24" s="12">
        <f>ROUNDDOWN(((220-((K24+G24+I24)/12))*0.7),0)</f>
        <v>32</v>
      </c>
      <c r="D24" s="17">
        <f t="shared" si="1"/>
        <v>128</v>
      </c>
      <c r="E24" s="20"/>
      <c r="F24" s="21"/>
      <c r="G24" s="20">
        <f>157+135+184+226</f>
        <v>702</v>
      </c>
      <c r="H24" s="21">
        <f t="shared" si="10"/>
        <v>830</v>
      </c>
      <c r="I24" s="20">
        <f>191+157+173+145</f>
        <v>666</v>
      </c>
      <c r="J24" s="21">
        <f>I24+D24</f>
        <v>794</v>
      </c>
      <c r="K24" s="20">
        <f>168+165+199+190</f>
        <v>722</v>
      </c>
      <c r="L24" s="21">
        <f t="shared" si="5"/>
        <v>850</v>
      </c>
      <c r="M24" s="20"/>
      <c r="N24" s="21"/>
      <c r="O24" s="20"/>
      <c r="P24" s="21"/>
      <c r="Q24" s="20"/>
      <c r="R24" s="21"/>
      <c r="S24" s="20"/>
      <c r="T24" s="21"/>
      <c r="U24" s="20"/>
      <c r="V24" s="21"/>
      <c r="W24" s="20"/>
      <c r="X24" s="21"/>
      <c r="Y24" s="30">
        <f t="shared" si="8"/>
        <v>2474</v>
      </c>
    </row>
    <row r="25" spans="1:25" x14ac:dyDescent="0.2">
      <c r="A25" s="1">
        <f t="shared" si="9"/>
        <v>23</v>
      </c>
      <c r="B25" s="7" t="s">
        <v>32</v>
      </c>
      <c r="C25" s="12">
        <f>ROUNDDOWN(((220-((K25+M25+O25)/12))*0.7),0)</f>
        <v>34</v>
      </c>
      <c r="D25" s="17">
        <f t="shared" si="1"/>
        <v>136</v>
      </c>
      <c r="E25" s="20"/>
      <c r="F25" s="21"/>
      <c r="G25" s="20"/>
      <c r="H25" s="21"/>
      <c r="I25" s="20"/>
      <c r="J25" s="21"/>
      <c r="K25" s="20">
        <f>209+178+165+194</f>
        <v>746</v>
      </c>
      <c r="L25" s="21">
        <f t="shared" si="5"/>
        <v>882</v>
      </c>
      <c r="M25" s="20">
        <f>178+200+155+166</f>
        <v>699</v>
      </c>
      <c r="N25" s="21">
        <f>M25+D25</f>
        <v>835</v>
      </c>
      <c r="O25" s="20">
        <f>153+178+159+121</f>
        <v>611</v>
      </c>
      <c r="P25" s="21">
        <f>O25+D25</f>
        <v>747</v>
      </c>
      <c r="Q25" s="20"/>
      <c r="R25" s="21"/>
      <c r="S25" s="20"/>
      <c r="T25" s="21"/>
      <c r="U25" s="20"/>
      <c r="V25" s="21"/>
      <c r="W25" s="20"/>
      <c r="X25" s="21"/>
      <c r="Y25" s="30">
        <f t="shared" si="8"/>
        <v>2464</v>
      </c>
    </row>
    <row r="26" spans="1:25" x14ac:dyDescent="0.2">
      <c r="A26" s="1">
        <f t="shared" si="9"/>
        <v>24</v>
      </c>
      <c r="B26" s="7" t="s">
        <v>23</v>
      </c>
      <c r="C26" s="12">
        <f>ROUNDDOWN(((220-((K26+G26+I26)/12))*0.7),0)</f>
        <v>36</v>
      </c>
      <c r="D26" s="17">
        <f t="shared" si="1"/>
        <v>144</v>
      </c>
      <c r="E26" s="20"/>
      <c r="F26" s="21"/>
      <c r="G26" s="20">
        <f>159+146+202+203</f>
        <v>710</v>
      </c>
      <c r="H26" s="21">
        <f>G26+D26</f>
        <v>854</v>
      </c>
      <c r="I26" s="20">
        <f>159+152+160+137</f>
        <v>608</v>
      </c>
      <c r="J26" s="21">
        <f>I26+D26</f>
        <v>752</v>
      </c>
      <c r="K26" s="20">
        <f>153+195+150+197</f>
        <v>695</v>
      </c>
      <c r="L26" s="21">
        <f t="shared" si="5"/>
        <v>839</v>
      </c>
      <c r="M26" s="20">
        <f>181+136+200+158</f>
        <v>675</v>
      </c>
      <c r="N26" s="21"/>
      <c r="O26" s="20"/>
      <c r="P26" s="21"/>
      <c r="Q26" s="20"/>
      <c r="R26" s="21"/>
      <c r="S26" s="20"/>
      <c r="T26" s="21"/>
      <c r="U26" s="20"/>
      <c r="V26" s="21"/>
      <c r="W26" s="20"/>
      <c r="X26" s="21"/>
      <c r="Y26" s="30">
        <f t="shared" si="8"/>
        <v>2445</v>
      </c>
    </row>
    <row r="27" spans="1:25" x14ac:dyDescent="0.2">
      <c r="A27" s="1">
        <f t="shared" si="9"/>
        <v>25</v>
      </c>
      <c r="B27" s="7" t="s">
        <v>25</v>
      </c>
      <c r="C27" s="12">
        <f>ROUNDDOWN(((220-((I27+K27+O27)/12))*0.7),0)</f>
        <v>50</v>
      </c>
      <c r="D27" s="17">
        <f t="shared" si="1"/>
        <v>200</v>
      </c>
      <c r="E27" s="20"/>
      <c r="F27" s="21"/>
      <c r="G27" s="20"/>
      <c r="H27" s="21"/>
      <c r="I27" s="20">
        <f>110+130+105+169</f>
        <v>514</v>
      </c>
      <c r="J27" s="21">
        <f>I27+D27</f>
        <v>714</v>
      </c>
      <c r="K27" s="20">
        <f>127+164+163+160</f>
        <v>614</v>
      </c>
      <c r="L27" s="21">
        <f t="shared" si="5"/>
        <v>814</v>
      </c>
      <c r="M27" s="20"/>
      <c r="N27" s="21"/>
      <c r="O27" s="20">
        <f>136+171+189+142</f>
        <v>638</v>
      </c>
      <c r="P27" s="21">
        <f>O27+D27</f>
        <v>838</v>
      </c>
      <c r="Q27" s="20"/>
      <c r="R27" s="21"/>
      <c r="S27" s="20"/>
      <c r="T27" s="21"/>
      <c r="U27" s="20"/>
      <c r="V27" s="21"/>
      <c r="W27" s="20"/>
      <c r="X27" s="21"/>
      <c r="Y27" s="30">
        <f t="shared" si="8"/>
        <v>2366</v>
      </c>
    </row>
    <row r="28" spans="1:25" x14ac:dyDescent="0.2">
      <c r="A28" s="1">
        <f t="shared" si="9"/>
        <v>26</v>
      </c>
      <c r="B28" s="7" t="s">
        <v>34</v>
      </c>
      <c r="C28" s="12">
        <f>ROUNDDOWN(((220-((G28+M28+O28)/12))*0.7),0)</f>
        <v>102</v>
      </c>
      <c r="D28" s="17">
        <f t="shared" si="1"/>
        <v>408</v>
      </c>
      <c r="E28" s="20"/>
      <c r="F28" s="21"/>
      <c r="G28" s="20">
        <f>65+93+94+121</f>
        <v>373</v>
      </c>
      <c r="H28" s="21">
        <f>G28+D28</f>
        <v>781</v>
      </c>
      <c r="I28" s="20"/>
      <c r="J28" s="21"/>
      <c r="K28" s="20"/>
      <c r="L28" s="21"/>
      <c r="M28" s="20">
        <f>83+62+60+60</f>
        <v>265</v>
      </c>
      <c r="N28" s="21">
        <f>M28+D28</f>
        <v>673</v>
      </c>
      <c r="O28" s="20">
        <f>66+57+49+80</f>
        <v>252</v>
      </c>
      <c r="P28" s="21">
        <f>O28+D28</f>
        <v>660</v>
      </c>
      <c r="Q28" s="20"/>
      <c r="R28" s="21"/>
      <c r="S28" s="20"/>
      <c r="T28" s="21"/>
      <c r="U28" s="20"/>
      <c r="V28" s="21"/>
      <c r="W28" s="20"/>
      <c r="X28" s="21"/>
      <c r="Y28" s="30">
        <f t="shared" si="8"/>
        <v>2114</v>
      </c>
    </row>
    <row r="29" spans="1:25" x14ac:dyDescent="0.2">
      <c r="A29" s="1">
        <f t="shared" si="9"/>
        <v>27</v>
      </c>
      <c r="B29" s="7" t="s">
        <v>15</v>
      </c>
      <c r="C29" s="12"/>
      <c r="D29" s="17">
        <f t="shared" si="1"/>
        <v>0</v>
      </c>
      <c r="E29" s="20">
        <f>130+126+132+163</f>
        <v>551</v>
      </c>
      <c r="F29" s="21">
        <f>E29+D29</f>
        <v>551</v>
      </c>
      <c r="G29" s="20"/>
      <c r="H29" s="21"/>
      <c r="I29" s="20"/>
      <c r="J29" s="21"/>
      <c r="K29" s="20">
        <f>181+224+158+208</f>
        <v>771</v>
      </c>
      <c r="L29" s="21">
        <f>K29+D29</f>
        <v>771</v>
      </c>
      <c r="M29" s="20"/>
      <c r="N29" s="21"/>
      <c r="O29" s="20"/>
      <c r="P29" s="21"/>
      <c r="Q29" s="20"/>
      <c r="R29" s="21"/>
      <c r="S29" s="20"/>
      <c r="T29" s="21"/>
      <c r="U29" s="20"/>
      <c r="V29" s="21"/>
      <c r="W29" s="20"/>
      <c r="X29" s="21"/>
      <c r="Y29" s="30">
        <f t="shared" si="8"/>
        <v>1322</v>
      </c>
    </row>
    <row r="30" spans="1:25" x14ac:dyDescent="0.2">
      <c r="A30" s="1">
        <f t="shared" si="9"/>
        <v>28</v>
      </c>
      <c r="B30" s="7" t="s">
        <v>33</v>
      </c>
      <c r="C30" s="12"/>
      <c r="D30" s="17">
        <f t="shared" si="1"/>
        <v>0</v>
      </c>
      <c r="E30" s="20"/>
      <c r="F30" s="21"/>
      <c r="G30" s="20"/>
      <c r="H30" s="21"/>
      <c r="I30" s="20"/>
      <c r="J30" s="21"/>
      <c r="K30" s="20"/>
      <c r="L30" s="21"/>
      <c r="M30" s="20"/>
      <c r="N30" s="21"/>
      <c r="O30" s="20">
        <f>149+131+143+129</f>
        <v>552</v>
      </c>
      <c r="P30" s="21">
        <f>O30+D30</f>
        <v>552</v>
      </c>
      <c r="Q30" s="20"/>
      <c r="R30" s="21"/>
      <c r="S30" s="20"/>
      <c r="T30" s="21"/>
      <c r="U30" s="20"/>
      <c r="V30" s="21"/>
      <c r="W30" s="20"/>
      <c r="X30" s="21"/>
      <c r="Y30" s="30">
        <f t="shared" si="8"/>
        <v>552</v>
      </c>
    </row>
    <row r="31" spans="1:25" x14ac:dyDescent="0.2">
      <c r="A31" s="1">
        <f t="shared" si="9"/>
        <v>29</v>
      </c>
      <c r="B31" s="7" t="s">
        <v>31</v>
      </c>
      <c r="C31" s="12"/>
      <c r="D31" s="17">
        <f t="shared" si="1"/>
        <v>0</v>
      </c>
      <c r="E31" s="20"/>
      <c r="F31" s="21"/>
      <c r="G31" s="20"/>
      <c r="H31" s="21"/>
      <c r="I31" s="20"/>
      <c r="J31" s="21"/>
      <c r="K31" s="20">
        <f>60+116+115+97</f>
        <v>388</v>
      </c>
      <c r="L31" s="21">
        <f>K31+D31</f>
        <v>388</v>
      </c>
      <c r="M31" s="20"/>
      <c r="N31" s="21"/>
      <c r="O31" s="20"/>
      <c r="P31" s="21"/>
      <c r="Q31" s="20"/>
      <c r="R31" s="21"/>
      <c r="S31" s="20"/>
      <c r="T31" s="21"/>
      <c r="U31" s="20"/>
      <c r="V31" s="21"/>
      <c r="W31" s="20"/>
      <c r="X31" s="21"/>
      <c r="Y31" s="30">
        <f t="shared" si="8"/>
        <v>388</v>
      </c>
    </row>
    <row r="32" spans="1:25" x14ac:dyDescent="0.2">
      <c r="A32" s="1">
        <f t="shared" si="9"/>
        <v>30</v>
      </c>
      <c r="B32" s="7"/>
      <c r="C32" s="12"/>
      <c r="D32" s="17">
        <f t="shared" si="1"/>
        <v>0</v>
      </c>
      <c r="E32" s="20"/>
      <c r="F32" s="21"/>
      <c r="G32" s="20"/>
      <c r="H32" s="21"/>
      <c r="I32" s="20"/>
      <c r="J32" s="21"/>
      <c r="K32" s="20"/>
      <c r="L32" s="21"/>
      <c r="M32" s="20"/>
      <c r="N32" s="21"/>
      <c r="O32" s="20"/>
      <c r="P32" s="21"/>
      <c r="Q32" s="20"/>
      <c r="R32" s="21"/>
      <c r="S32" s="20"/>
      <c r="T32" s="21"/>
      <c r="U32" s="20"/>
      <c r="V32" s="21"/>
      <c r="W32" s="20"/>
      <c r="X32" s="21"/>
      <c r="Y32" s="30">
        <f t="shared" si="8"/>
        <v>0</v>
      </c>
    </row>
    <row r="33" spans="1:25" x14ac:dyDescent="0.2">
      <c r="A33" s="1">
        <f t="shared" si="9"/>
        <v>31</v>
      </c>
      <c r="B33" s="7"/>
      <c r="C33" s="12"/>
      <c r="D33" s="17">
        <f t="shared" si="1"/>
        <v>0</v>
      </c>
      <c r="E33" s="20"/>
      <c r="F33" s="21"/>
      <c r="G33" s="20"/>
      <c r="H33" s="21"/>
      <c r="I33" s="20"/>
      <c r="J33" s="21"/>
      <c r="K33" s="20"/>
      <c r="L33" s="21"/>
      <c r="M33" s="20"/>
      <c r="N33" s="21"/>
      <c r="O33" s="20"/>
      <c r="P33" s="21"/>
      <c r="Q33" s="20"/>
      <c r="R33" s="21"/>
      <c r="S33" s="20"/>
      <c r="T33" s="21"/>
      <c r="U33" s="20"/>
      <c r="V33" s="21"/>
      <c r="W33" s="20"/>
      <c r="X33" s="21"/>
      <c r="Y33" s="30">
        <f t="shared" si="8"/>
        <v>0</v>
      </c>
    </row>
    <row r="34" spans="1:25" x14ac:dyDescent="0.2">
      <c r="A34" s="1">
        <f t="shared" si="9"/>
        <v>32</v>
      </c>
      <c r="B34" s="7"/>
      <c r="C34" s="12"/>
      <c r="D34" s="17">
        <f t="shared" si="1"/>
        <v>0</v>
      </c>
      <c r="E34" s="20"/>
      <c r="F34" s="21"/>
      <c r="G34" s="20"/>
      <c r="H34" s="21"/>
      <c r="I34" s="20"/>
      <c r="J34" s="21"/>
      <c r="K34" s="20"/>
      <c r="L34" s="21"/>
      <c r="M34" s="20"/>
      <c r="N34" s="21"/>
      <c r="O34" s="20"/>
      <c r="P34" s="21"/>
      <c r="Q34" s="20"/>
      <c r="R34" s="21"/>
      <c r="S34" s="20"/>
      <c r="T34" s="21"/>
      <c r="U34" s="20"/>
      <c r="V34" s="21"/>
      <c r="W34" s="20"/>
      <c r="X34" s="21"/>
      <c r="Y34" s="30">
        <f t="shared" si="8"/>
        <v>0</v>
      </c>
    </row>
    <row r="35" spans="1:25" x14ac:dyDescent="0.2">
      <c r="A35" s="1">
        <f t="shared" si="9"/>
        <v>33</v>
      </c>
      <c r="B35" s="7"/>
      <c r="C35" s="12"/>
      <c r="D35" s="17">
        <f t="shared" si="1"/>
        <v>0</v>
      </c>
      <c r="E35" s="20"/>
      <c r="F35" s="21"/>
      <c r="G35" s="20"/>
      <c r="H35" s="21"/>
      <c r="I35" s="20"/>
      <c r="J35" s="21"/>
      <c r="K35" s="20"/>
      <c r="L35" s="21"/>
      <c r="M35" s="20"/>
      <c r="N35" s="21"/>
      <c r="O35" s="20"/>
      <c r="P35" s="21"/>
      <c r="Q35" s="20"/>
      <c r="R35" s="21"/>
      <c r="S35" s="20"/>
      <c r="T35" s="21"/>
      <c r="U35" s="20"/>
      <c r="V35" s="21"/>
      <c r="W35" s="20"/>
      <c r="X35" s="21"/>
      <c r="Y35" s="30">
        <f t="shared" si="8"/>
        <v>0</v>
      </c>
    </row>
    <row r="36" spans="1:25" x14ac:dyDescent="0.2">
      <c r="A36" s="1">
        <f t="shared" si="9"/>
        <v>34</v>
      </c>
      <c r="B36" s="8"/>
      <c r="C36" s="12"/>
      <c r="D36" s="17">
        <f t="shared" si="1"/>
        <v>0</v>
      </c>
      <c r="E36" s="22"/>
      <c r="F36" s="21"/>
      <c r="G36" s="22"/>
      <c r="H36" s="21"/>
      <c r="I36" s="22"/>
      <c r="J36" s="21"/>
      <c r="K36" s="22"/>
      <c r="L36" s="21"/>
      <c r="M36" s="22"/>
      <c r="N36" s="25"/>
      <c r="O36" s="22"/>
      <c r="P36" s="25"/>
      <c r="Q36" s="22"/>
      <c r="R36" s="25"/>
      <c r="S36" s="22"/>
      <c r="T36" s="25"/>
      <c r="U36" s="22"/>
      <c r="V36" s="25"/>
      <c r="W36" s="22"/>
      <c r="X36" s="25"/>
      <c r="Y36" s="30">
        <f t="shared" si="8"/>
        <v>0</v>
      </c>
    </row>
    <row r="37" spans="1:25" x14ac:dyDescent="0.2">
      <c r="A37" s="1">
        <f t="shared" si="9"/>
        <v>35</v>
      </c>
      <c r="B37" s="8"/>
      <c r="C37" s="12"/>
      <c r="D37" s="17">
        <f t="shared" si="1"/>
        <v>0</v>
      </c>
      <c r="E37" s="22"/>
      <c r="F37" s="21"/>
      <c r="G37" s="22"/>
      <c r="H37" s="21"/>
      <c r="I37" s="22"/>
      <c r="J37" s="21"/>
      <c r="K37" s="22"/>
      <c r="L37" s="21"/>
      <c r="M37" s="22"/>
      <c r="N37" s="25"/>
      <c r="O37" s="22"/>
      <c r="P37" s="25"/>
      <c r="Q37" s="22"/>
      <c r="R37" s="25"/>
      <c r="S37" s="22"/>
      <c r="T37" s="25"/>
      <c r="U37" s="22"/>
      <c r="V37" s="25"/>
      <c r="W37" s="22"/>
      <c r="X37" s="25"/>
      <c r="Y37" s="30">
        <f t="shared" si="8"/>
        <v>0</v>
      </c>
    </row>
    <row r="38" spans="1:25" ht="13.5" thickBot="1" x14ac:dyDescent="0.25">
      <c r="A38" s="1">
        <f t="shared" si="9"/>
        <v>36</v>
      </c>
      <c r="B38" s="5"/>
      <c r="C38" s="12"/>
      <c r="D38" s="17">
        <f t="shared" si="1"/>
        <v>0</v>
      </c>
      <c r="E38" s="23"/>
      <c r="F38" s="24"/>
      <c r="G38" s="23"/>
      <c r="H38" s="24"/>
      <c r="I38" s="23"/>
      <c r="J38" s="21"/>
      <c r="K38" s="23"/>
      <c r="L38" s="21"/>
      <c r="M38" s="23"/>
      <c r="N38" s="26"/>
      <c r="O38" s="23"/>
      <c r="P38" s="26"/>
      <c r="Q38" s="23"/>
      <c r="R38" s="26"/>
      <c r="S38" s="23"/>
      <c r="T38" s="26"/>
      <c r="U38" s="23"/>
      <c r="V38" s="26"/>
      <c r="W38" s="23"/>
      <c r="X38" s="26"/>
      <c r="Y38" s="30">
        <f t="shared" si="8"/>
        <v>0</v>
      </c>
    </row>
    <row r="39" spans="1:25" x14ac:dyDescent="0.2">
      <c r="A39" t="s">
        <v>0</v>
      </c>
      <c r="Y39" s="2">
        <f>SUM(F39:X39)</f>
        <v>0</v>
      </c>
    </row>
    <row r="40" spans="1:25" x14ac:dyDescent="0.2">
      <c r="Y40" s="2">
        <f>Y39*6</f>
        <v>0</v>
      </c>
    </row>
    <row r="41" spans="1:25" x14ac:dyDescent="0.2">
      <c r="G41" s="3" t="s">
        <v>1</v>
      </c>
      <c r="H41" s="3"/>
    </row>
    <row r="42" spans="1:25" x14ac:dyDescent="0.2">
      <c r="B42" s="5"/>
      <c r="F42">
        <v>1</v>
      </c>
      <c r="G42">
        <v>15</v>
      </c>
      <c r="I42" s="4">
        <f>Y40*G42/100</f>
        <v>0</v>
      </c>
      <c r="J42" s="4"/>
    </row>
    <row r="43" spans="1:25" x14ac:dyDescent="0.2">
      <c r="B43" s="5"/>
      <c r="F43">
        <f>F42+1</f>
        <v>2</v>
      </c>
      <c r="G43">
        <v>13</v>
      </c>
      <c r="I43" s="4">
        <f t="shared" ref="I43:I59" si="11">$Y$40*G43/100</f>
        <v>0</v>
      </c>
      <c r="J43" s="4"/>
    </row>
    <row r="44" spans="1:25" x14ac:dyDescent="0.2">
      <c r="B44" s="5"/>
      <c r="F44">
        <f t="shared" ref="F44:F59" si="12">F43+1</f>
        <v>3</v>
      </c>
      <c r="G44">
        <v>11</v>
      </c>
      <c r="I44" s="4">
        <f t="shared" si="11"/>
        <v>0</v>
      </c>
      <c r="J44" s="4"/>
    </row>
    <row r="45" spans="1:25" x14ac:dyDescent="0.2">
      <c r="B45" s="5"/>
      <c r="F45">
        <f t="shared" si="12"/>
        <v>4</v>
      </c>
      <c r="G45">
        <v>9</v>
      </c>
      <c r="I45" s="4">
        <f t="shared" si="11"/>
        <v>0</v>
      </c>
      <c r="J45" s="4"/>
    </row>
    <row r="46" spans="1:25" x14ac:dyDescent="0.2">
      <c r="B46" s="5"/>
      <c r="F46">
        <f t="shared" si="12"/>
        <v>5</v>
      </c>
      <c r="G46">
        <v>8</v>
      </c>
      <c r="I46" s="6">
        <f t="shared" si="11"/>
        <v>0</v>
      </c>
      <c r="J46" s="6"/>
    </row>
    <row r="47" spans="1:25" x14ac:dyDescent="0.2">
      <c r="B47" s="5"/>
      <c r="F47">
        <f t="shared" si="12"/>
        <v>6</v>
      </c>
      <c r="G47">
        <v>7</v>
      </c>
      <c r="I47" s="6">
        <f t="shared" si="11"/>
        <v>0</v>
      </c>
      <c r="J47" s="6"/>
    </row>
    <row r="48" spans="1:25" x14ac:dyDescent="0.2">
      <c r="B48" s="5"/>
      <c r="F48">
        <f t="shared" si="12"/>
        <v>7</v>
      </c>
      <c r="G48">
        <v>6</v>
      </c>
      <c r="I48" s="6">
        <f t="shared" si="11"/>
        <v>0</v>
      </c>
      <c r="J48" s="6"/>
    </row>
    <row r="49" spans="2:10" x14ac:dyDescent="0.2">
      <c r="B49" s="5"/>
      <c r="F49">
        <f t="shared" si="12"/>
        <v>8</v>
      </c>
      <c r="G49">
        <v>5</v>
      </c>
      <c r="I49" s="6">
        <f t="shared" si="11"/>
        <v>0</v>
      </c>
      <c r="J49" s="6"/>
    </row>
    <row r="50" spans="2:10" x14ac:dyDescent="0.2">
      <c r="B50" s="5"/>
      <c r="F50">
        <f t="shared" si="12"/>
        <v>9</v>
      </c>
      <c r="G50">
        <v>5</v>
      </c>
      <c r="I50" s="6">
        <f t="shared" si="11"/>
        <v>0</v>
      </c>
      <c r="J50" s="6"/>
    </row>
    <row r="51" spans="2:10" x14ac:dyDescent="0.2">
      <c r="B51" s="5"/>
      <c r="F51">
        <f t="shared" si="12"/>
        <v>10</v>
      </c>
      <c r="G51">
        <v>4</v>
      </c>
      <c r="I51" s="6">
        <f t="shared" si="11"/>
        <v>0</v>
      </c>
      <c r="J51" s="6"/>
    </row>
    <row r="52" spans="2:10" x14ac:dyDescent="0.2">
      <c r="B52" s="5"/>
      <c r="F52">
        <f t="shared" si="12"/>
        <v>11</v>
      </c>
      <c r="G52">
        <v>4</v>
      </c>
      <c r="I52" s="6">
        <f t="shared" si="11"/>
        <v>0</v>
      </c>
      <c r="J52" s="6"/>
    </row>
    <row r="53" spans="2:10" x14ac:dyDescent="0.2">
      <c r="B53" s="5"/>
      <c r="F53">
        <f t="shared" si="12"/>
        <v>12</v>
      </c>
      <c r="G53">
        <v>3</v>
      </c>
      <c r="I53" s="6">
        <f t="shared" si="11"/>
        <v>0</v>
      </c>
      <c r="J53" s="6"/>
    </row>
    <row r="54" spans="2:10" x14ac:dyDescent="0.2">
      <c r="B54" s="5"/>
      <c r="F54">
        <f t="shared" si="12"/>
        <v>13</v>
      </c>
      <c r="G54">
        <v>3</v>
      </c>
      <c r="I54" s="6">
        <f t="shared" si="11"/>
        <v>0</v>
      </c>
      <c r="J54" s="6"/>
    </row>
    <row r="55" spans="2:10" x14ac:dyDescent="0.2">
      <c r="B55" s="5"/>
      <c r="F55">
        <f t="shared" si="12"/>
        <v>14</v>
      </c>
      <c r="G55">
        <v>2</v>
      </c>
      <c r="I55" s="6">
        <f t="shared" si="11"/>
        <v>0</v>
      </c>
      <c r="J55" s="6"/>
    </row>
    <row r="56" spans="2:10" x14ac:dyDescent="0.2">
      <c r="B56" s="5"/>
      <c r="F56">
        <f t="shared" si="12"/>
        <v>15</v>
      </c>
      <c r="G56">
        <v>2</v>
      </c>
      <c r="I56" s="6">
        <f t="shared" si="11"/>
        <v>0</v>
      </c>
      <c r="J56" s="6"/>
    </row>
    <row r="57" spans="2:10" x14ac:dyDescent="0.2">
      <c r="B57" s="5"/>
      <c r="F57">
        <f t="shared" si="12"/>
        <v>16</v>
      </c>
      <c r="G57">
        <v>1</v>
      </c>
      <c r="I57" s="6">
        <f t="shared" si="11"/>
        <v>0</v>
      </c>
      <c r="J57" s="6"/>
    </row>
    <row r="58" spans="2:10" x14ac:dyDescent="0.2">
      <c r="B58" s="5"/>
      <c r="F58">
        <f t="shared" si="12"/>
        <v>17</v>
      </c>
      <c r="G58">
        <v>1</v>
      </c>
      <c r="I58" s="6">
        <f t="shared" si="11"/>
        <v>0</v>
      </c>
      <c r="J58" s="6"/>
    </row>
    <row r="59" spans="2:10" x14ac:dyDescent="0.2">
      <c r="B59" s="5"/>
      <c r="F59">
        <f t="shared" si="12"/>
        <v>18</v>
      </c>
      <c r="G59">
        <v>1</v>
      </c>
      <c r="I59" s="6">
        <f t="shared" si="11"/>
        <v>0</v>
      </c>
      <c r="J59" s="6"/>
    </row>
    <row r="62" spans="2:10" x14ac:dyDescent="0.2">
      <c r="I62" s="4">
        <f>SUM(I42:I59)</f>
        <v>0</v>
      </c>
      <c r="J62" s="4"/>
    </row>
  </sheetData>
  <sortState xmlns:xlrd2="http://schemas.microsoft.com/office/spreadsheetml/2017/richdata2" ref="B3:Y38">
    <sortCondition descending="1" ref="Y3:Y38"/>
  </sortState>
  <mergeCells count="11">
    <mergeCell ref="B1:C1"/>
    <mergeCell ref="E1:F1"/>
    <mergeCell ref="G1:H1"/>
    <mergeCell ref="I1:J1"/>
    <mergeCell ref="K1:L1"/>
    <mergeCell ref="W1:X1"/>
    <mergeCell ref="M1:N1"/>
    <mergeCell ref="O1:P1"/>
    <mergeCell ref="Q1:R1"/>
    <mergeCell ref="S1:T1"/>
    <mergeCell ref="U1:V1"/>
  </mergeCells>
  <phoneticPr fontId="4" type="noConversion"/>
  <pageMargins left="0.75196850393700787" right="0.44094488188976383" top="0.57086614173228345" bottom="1" header="0.38188976377952755" footer="0.5"/>
  <pageSetup paperSize="9" scale="57" orientation="landscape" r:id="rId1"/>
  <headerFooter>
    <oddHeader>&amp;C&amp;"Verdana,Gras"Ligue Eté jeudi soir 20h30&amp;KFF0000 sauf mercredi 12 juillet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Bowling de la Matène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M-A Buttery</dc:creator>
  <cp:lastModifiedBy>Staff</cp:lastModifiedBy>
  <cp:lastPrinted>2022-08-30T09:39:33Z</cp:lastPrinted>
  <dcterms:created xsi:type="dcterms:W3CDTF">2015-07-09T14:35:59Z</dcterms:created>
  <dcterms:modified xsi:type="dcterms:W3CDTF">2023-07-26T11:52:43Z</dcterms:modified>
</cp:coreProperties>
</file>