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aff\Desktop\"/>
    </mc:Choice>
  </mc:AlternateContent>
  <xr:revisionPtr revIDLastSave="0" documentId="13_ncr:1_{79A06774-83D0-4458-BAAC-A3F359FC6D1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Feuil1" sheetId="1" r:id="rId1"/>
  </sheets>
  <definedNames>
    <definedName name="_xlnm.Print_Area" localSheetId="0">Feuil1!$B$1:$P$27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6" i="1" l="1"/>
  <c r="P16" i="1"/>
  <c r="C14" i="1"/>
  <c r="P14" i="1"/>
  <c r="G12" i="1"/>
  <c r="H12" i="1"/>
  <c r="I12" i="1"/>
  <c r="C12" i="1"/>
  <c r="P12" i="1"/>
  <c r="E11" i="1"/>
  <c r="F11" i="1"/>
  <c r="G11" i="1"/>
  <c r="I11" i="1"/>
  <c r="C11" i="1"/>
  <c r="P11" i="1"/>
  <c r="F10" i="1"/>
  <c r="G10" i="1"/>
  <c r="H10" i="1"/>
  <c r="I10" i="1"/>
  <c r="C10" i="1"/>
  <c r="P10" i="1"/>
  <c r="D9" i="1"/>
  <c r="E9" i="1"/>
  <c r="F9" i="1"/>
  <c r="G9" i="1"/>
  <c r="I9" i="1"/>
  <c r="C9" i="1"/>
  <c r="P9" i="1"/>
  <c r="D8" i="1"/>
  <c r="E8" i="1"/>
  <c r="G8" i="1"/>
  <c r="H8" i="1"/>
  <c r="I8" i="1"/>
  <c r="C8" i="1"/>
  <c r="P8" i="1"/>
  <c r="D6" i="1"/>
  <c r="E6" i="1"/>
  <c r="F6" i="1"/>
  <c r="G6" i="1"/>
  <c r="I6" i="1"/>
  <c r="C6" i="1"/>
  <c r="P6" i="1"/>
  <c r="D5" i="1"/>
  <c r="F5" i="1"/>
  <c r="G5" i="1"/>
  <c r="H5" i="1"/>
  <c r="I5" i="1"/>
  <c r="C5" i="1"/>
  <c r="P5" i="1"/>
  <c r="D7" i="1"/>
  <c r="E7" i="1"/>
  <c r="F7" i="1"/>
  <c r="G7" i="1"/>
  <c r="I7" i="1"/>
  <c r="C7" i="1"/>
  <c r="P7" i="1"/>
  <c r="D4" i="1"/>
  <c r="E4" i="1"/>
  <c r="F4" i="1"/>
  <c r="G4" i="1"/>
  <c r="H4" i="1"/>
  <c r="I4" i="1"/>
  <c r="C4" i="1"/>
  <c r="P4" i="1"/>
  <c r="D2" i="1"/>
  <c r="E2" i="1"/>
  <c r="F2" i="1"/>
  <c r="G2" i="1"/>
  <c r="H2" i="1"/>
  <c r="I2" i="1"/>
  <c r="C2" i="1"/>
  <c r="P2" i="1"/>
  <c r="D3" i="1"/>
  <c r="E3" i="1"/>
  <c r="F3" i="1"/>
  <c r="G3" i="1"/>
  <c r="H3" i="1"/>
  <c r="I3" i="1"/>
  <c r="C3" i="1"/>
  <c r="P3" i="1"/>
  <c r="I20" i="1"/>
  <c r="I22" i="1"/>
  <c r="I23" i="1"/>
  <c r="I21" i="1"/>
  <c r="I14" i="1"/>
  <c r="I19" i="1"/>
  <c r="I17" i="1"/>
  <c r="I16" i="1"/>
  <c r="F13" i="1"/>
  <c r="G13" i="1"/>
  <c r="H13" i="1"/>
  <c r="C13" i="1"/>
  <c r="P13" i="1"/>
  <c r="H23" i="1"/>
  <c r="H21" i="1"/>
  <c r="H22" i="1"/>
  <c r="H14" i="1"/>
  <c r="H16" i="1"/>
  <c r="H19" i="1"/>
  <c r="H17" i="1"/>
  <c r="G16" i="1"/>
  <c r="G20" i="1"/>
  <c r="G14" i="1"/>
  <c r="D15" i="1"/>
  <c r="G15" i="1"/>
  <c r="F15" i="1"/>
  <c r="C15" i="1"/>
  <c r="P15" i="1"/>
  <c r="D25" i="1"/>
  <c r="P25" i="1"/>
  <c r="D26" i="1"/>
  <c r="P26" i="1"/>
  <c r="E27" i="1"/>
  <c r="P27" i="1"/>
  <c r="E24" i="1"/>
  <c r="P24" i="1"/>
  <c r="P20" i="1"/>
  <c r="P17" i="1"/>
  <c r="P19" i="1"/>
  <c r="P22" i="1"/>
  <c r="P21" i="1"/>
  <c r="P23" i="1"/>
  <c r="P28" i="1"/>
  <c r="P29" i="1"/>
  <c r="P30" i="1"/>
  <c r="P31" i="1"/>
  <c r="P32" i="1"/>
  <c r="P33" i="1"/>
  <c r="P34" i="1"/>
  <c r="P35" i="1"/>
  <c r="P36" i="1"/>
  <c r="D18" i="1"/>
  <c r="E18" i="1"/>
  <c r="P18" i="1"/>
  <c r="P38" i="1"/>
  <c r="P39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6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P37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</calcChain>
</file>

<file path=xl/sharedStrings.xml><?xml version="1.0" encoding="utf-8"?>
<sst xmlns="http://schemas.openxmlformats.org/spreadsheetml/2006/main" count="28" uniqueCount="27">
  <si>
    <t>Nbre joueurs</t>
    <phoneticPr fontId="4" type="noConversion"/>
  </si>
  <si>
    <t>%</t>
    <phoneticPr fontId="4" type="noConversion"/>
  </si>
  <si>
    <t>Thiercellin Dominique</t>
  </si>
  <si>
    <t>Joachim Didier</t>
  </si>
  <si>
    <t>Marpaud Alain</t>
  </si>
  <si>
    <t>Mette Thomas</t>
  </si>
  <si>
    <t>Mary Freddy</t>
  </si>
  <si>
    <t>Ramsay Patrick</t>
  </si>
  <si>
    <t>Dehorter Pascal</t>
  </si>
  <si>
    <t>Sitbon Yves</t>
  </si>
  <si>
    <t>Anesi Bernard</t>
  </si>
  <si>
    <t>Guichard Sylvain</t>
  </si>
  <si>
    <t>Sancho Sylvie</t>
  </si>
  <si>
    <t>Abhervé Robert</t>
  </si>
  <si>
    <t>Goncalves Eusebio</t>
  </si>
  <si>
    <t>Loisel Corentin</t>
  </si>
  <si>
    <t>Massif Jean-Pierre</t>
  </si>
  <si>
    <t>Sancho Fatima</t>
  </si>
  <si>
    <t>Virmont Patrick</t>
  </si>
  <si>
    <t>Orel Jean-Claude</t>
  </si>
  <si>
    <t>Rieira Joshua</t>
  </si>
  <si>
    <t>Malenfer Pascal</t>
  </si>
  <si>
    <t>Nguyen Blaise</t>
  </si>
  <si>
    <t>Thien-Duyen Vu</t>
  </si>
  <si>
    <t>Lefkiv Roman</t>
  </si>
  <si>
    <t>Subacchi Claudine</t>
  </si>
  <si>
    <t>Subacchi Michel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</si>
</sst>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"/>
  </numFmts>
  <fonts count="12" x14ac:knownFonts="1">
    <font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sz val="16"/>
      <color indexed="12"/>
      <name val="Verdana"/>
    </font>
    <font>
      <b/>
      <sz val="8"/>
      <name val="Verdana"/>
    </font>
    <font>
      <sz val="10"/>
      <color indexed="23"/>
      <name val="Verdana"/>
    </font>
    <font>
      <b/>
      <sz val="10"/>
      <color indexed="12"/>
      <name val="Verdana"/>
    </font>
    <font>
      <sz val="10"/>
      <color indexed="10"/>
      <name val="Verdana"/>
    </font>
    <font>
      <sz val="10"/>
      <name val="Verdana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gray125">
        <fgColor indexed="44"/>
      </patternFill>
    </fill>
    <fill>
      <patternFill patternType="solid">
        <fgColor indexed="65"/>
        <bgColor indexed="4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1" fillId="2" borderId="3" xfId="0" applyFont="1" applyFill="1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6" fillId="0" borderId="3" xfId="0" applyNumberFormat="1" applyFont="1" applyBorder="1"/>
    <xf numFmtId="0" fontId="7" fillId="3" borderId="3" xfId="0" applyFont="1" applyFill="1" applyBorder="1"/>
    <xf numFmtId="2" fontId="9" fillId="0" borderId="0" xfId="0" applyNumberFormat="1" applyFont="1"/>
    <xf numFmtId="0" fontId="1" fillId="3" borderId="3" xfId="0" applyFont="1" applyFill="1" applyBorder="1"/>
    <xf numFmtId="0" fontId="8" fillId="3" borderId="3" xfId="0" applyFont="1" applyFill="1" applyBorder="1"/>
    <xf numFmtId="0" fontId="0" fillId="3" borderId="3" xfId="0" applyFill="1" applyBorder="1"/>
    <xf numFmtId="0" fontId="1" fillId="3" borderId="4" xfId="0" applyFont="1" applyFill="1" applyBorder="1"/>
    <xf numFmtId="0" fontId="10" fillId="0" borderId="3" xfId="0" applyFont="1" applyBorder="1"/>
    <xf numFmtId="0" fontId="10" fillId="3" borderId="3" xfId="0" applyFont="1" applyFill="1" applyBorder="1"/>
    <xf numFmtId="0" fontId="10" fillId="0" borderId="4" xfId="0" applyFont="1" applyBorder="1"/>
    <xf numFmtId="0" fontId="10" fillId="3" borderId="4" xfId="0" applyFont="1" applyFill="1" applyBorder="1"/>
    <xf numFmtId="0" fontId="11" fillId="3" borderId="3" xfId="0" applyFont="1" applyFill="1" applyBorder="1"/>
    <xf numFmtId="0" fontId="5" fillId="0" borderId="1" xfId="0" applyFont="1" applyBorder="1" applyAlignment="1"/>
    <xf numFmtId="0" fontId="5" fillId="0" borderId="2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P61"/>
  <sheetViews>
    <sheetView tabSelected="1" view="pageLayout" topLeftCell="B1" zoomScale="125" zoomScalePageLayoutView="125" workbookViewId="0">
      <selection activeCell="K7" sqref="K7"/>
    </sheetView>
  </sheetViews>
  <sheetFormatPr baseColWidth="10" defaultRowHeight="12.75" x14ac:dyDescent="0.2"/>
  <cols>
    <col min="1" max="1" width="3.375" customWidth="1"/>
    <col min="2" max="2" width="18.75" customWidth="1"/>
    <col min="3" max="3" width="7.25" bestFit="1" customWidth="1"/>
    <col min="4" max="6" width="6.75" bestFit="1" customWidth="1"/>
    <col min="7" max="7" width="5.25" bestFit="1" customWidth="1"/>
    <col min="8" max="10" width="6.25" bestFit="1" customWidth="1"/>
    <col min="11" max="14" width="7.25" bestFit="1" customWidth="1"/>
    <col min="15" max="15" width="7.25" hidden="1" customWidth="1"/>
    <col min="16" max="16" width="5.625" bestFit="1" customWidth="1"/>
  </cols>
  <sheetData>
    <row r="1" spans="1:16" ht="24.95" customHeight="1" x14ac:dyDescent="0.25">
      <c r="B1" s="23">
        <v>0</v>
      </c>
      <c r="C1" s="24"/>
      <c r="D1" s="11">
        <v>43265</v>
      </c>
      <c r="E1" s="11">
        <v>43272</v>
      </c>
      <c r="F1" s="11">
        <v>43279</v>
      </c>
      <c r="G1" s="11">
        <v>43286</v>
      </c>
      <c r="H1" s="11">
        <v>43300</v>
      </c>
      <c r="I1" s="11">
        <v>43307</v>
      </c>
      <c r="J1" s="11">
        <v>43314</v>
      </c>
      <c r="K1" s="11">
        <v>43321</v>
      </c>
      <c r="L1" s="11">
        <v>43328</v>
      </c>
      <c r="M1" s="11">
        <v>43335</v>
      </c>
      <c r="N1" s="11">
        <v>43342</v>
      </c>
      <c r="O1" s="11"/>
      <c r="P1" s="10"/>
    </row>
    <row r="2" spans="1:16" x14ac:dyDescent="0.2">
      <c r="A2" s="1">
        <v>1</v>
      </c>
      <c r="B2" s="18" t="s">
        <v>11</v>
      </c>
      <c r="C2" s="18">
        <f>ROUNDDOWN((220-ROUNDDOWN(((D2+E2+F2)/12),0))*0.7,0)</f>
        <v>32</v>
      </c>
      <c r="D2" s="19">
        <f>145+176+157+183</f>
        <v>661</v>
      </c>
      <c r="E2" s="19">
        <f>178+159+154+177</f>
        <v>668</v>
      </c>
      <c r="F2" s="19">
        <f>236+176+194+157</f>
        <v>763</v>
      </c>
      <c r="G2" s="19">
        <f>173+190+137+181</f>
        <v>681</v>
      </c>
      <c r="H2" s="19">
        <f>169+159+187+199</f>
        <v>714</v>
      </c>
      <c r="I2" s="19">
        <f>159+116+223+192</f>
        <v>690</v>
      </c>
      <c r="J2" s="19"/>
      <c r="K2" s="19"/>
      <c r="L2" s="19"/>
      <c r="M2" s="19"/>
      <c r="N2" s="19"/>
      <c r="O2" s="14"/>
      <c r="P2" s="7">
        <f>SUM(D2:O2)+C2*24</f>
        <v>4945</v>
      </c>
    </row>
    <row r="3" spans="1:16" x14ac:dyDescent="0.2">
      <c r="A3" s="1">
        <f>1+A2</f>
        <v>2</v>
      </c>
      <c r="B3" s="18" t="s">
        <v>4</v>
      </c>
      <c r="C3" s="18">
        <f>ROUNDDOWN((220-ROUNDDOWN(((D3+E3+F3)/12),0))*0.7,0)</f>
        <v>16</v>
      </c>
      <c r="D3" s="19">
        <f>158+256+174+196</f>
        <v>784</v>
      </c>
      <c r="E3" s="22">
        <f>191+175+214+233</f>
        <v>813</v>
      </c>
      <c r="F3" s="19">
        <f>186+188+202+184</f>
        <v>760</v>
      </c>
      <c r="G3" s="19">
        <f>176+166+157+157</f>
        <v>656</v>
      </c>
      <c r="H3" s="22">
        <f>225+175+235+175</f>
        <v>810</v>
      </c>
      <c r="I3" s="19">
        <f>170+155+164+146</f>
        <v>635</v>
      </c>
      <c r="J3" s="19"/>
      <c r="K3" s="19"/>
      <c r="L3" s="19"/>
      <c r="M3" s="19"/>
      <c r="N3" s="19"/>
      <c r="O3" s="12"/>
      <c r="P3" s="7">
        <f>SUM(D3:O3)+C3*24</f>
        <v>4842</v>
      </c>
    </row>
    <row r="4" spans="1:16" x14ac:dyDescent="0.2">
      <c r="A4" s="1">
        <f t="shared" ref="A4:A37" si="0">1+A3</f>
        <v>3</v>
      </c>
      <c r="B4" s="18" t="s">
        <v>3</v>
      </c>
      <c r="C4" s="18">
        <f>ROUNDDOWN((220-ROUNDDOWN(((D4+E4+F4)/12),0))*0.7,0)</f>
        <v>51</v>
      </c>
      <c r="D4" s="19">
        <f>136+204+165+134</f>
        <v>639</v>
      </c>
      <c r="E4" s="19">
        <f>125+130+169+138</f>
        <v>562</v>
      </c>
      <c r="F4" s="19">
        <f>176+139+129+129</f>
        <v>573</v>
      </c>
      <c r="G4" s="19">
        <f>173+177+155+131</f>
        <v>636</v>
      </c>
      <c r="H4" s="19">
        <f>134+181+159+112</f>
        <v>586</v>
      </c>
      <c r="I4" s="19">
        <f>124+154+150+110</f>
        <v>538</v>
      </c>
      <c r="J4" s="19"/>
      <c r="K4" s="19"/>
      <c r="L4" s="19"/>
      <c r="M4" s="19"/>
      <c r="N4" s="19"/>
      <c r="O4" s="14"/>
      <c r="P4" s="7">
        <f>SUM(D4:O4)+C4*24</f>
        <v>4758</v>
      </c>
    </row>
    <row r="5" spans="1:16" x14ac:dyDescent="0.2">
      <c r="A5" s="1">
        <f t="shared" si="0"/>
        <v>4</v>
      </c>
      <c r="B5" s="18" t="s">
        <v>8</v>
      </c>
      <c r="C5" s="18">
        <f>ROUNDDOWN((220-ROUNDDOWN(((D5+G5+F5)/12),0))*0.7,0)</f>
        <v>36</v>
      </c>
      <c r="D5" s="19">
        <f>149+133+148+162</f>
        <v>592</v>
      </c>
      <c r="E5" s="19"/>
      <c r="F5" s="19">
        <f>138+191+223+204</f>
        <v>756</v>
      </c>
      <c r="G5" s="19">
        <f>163+191+157+159</f>
        <v>670</v>
      </c>
      <c r="H5" s="19">
        <f>196+190+170+212</f>
        <v>768</v>
      </c>
      <c r="I5" s="19">
        <f>172+209+158+141</f>
        <v>680</v>
      </c>
      <c r="J5" s="19"/>
      <c r="K5" s="19"/>
      <c r="L5" s="19"/>
      <c r="M5" s="19"/>
      <c r="N5" s="19"/>
      <c r="O5" s="14"/>
      <c r="P5" s="7">
        <f>SUM(D5:O5)+C5*20</f>
        <v>4186</v>
      </c>
    </row>
    <row r="6" spans="1:16" x14ac:dyDescent="0.2">
      <c r="A6" s="1">
        <f t="shared" si="0"/>
        <v>5</v>
      </c>
      <c r="B6" s="18" t="s">
        <v>12</v>
      </c>
      <c r="C6" s="18">
        <f>ROUNDDOWN((220-ROUNDDOWN(((D6+E6+F6)/12),0))*0.7,0)</f>
        <v>30</v>
      </c>
      <c r="D6" s="19">
        <f>182+157+183+178</f>
        <v>700</v>
      </c>
      <c r="E6" s="19">
        <f>194+144+160+136</f>
        <v>634</v>
      </c>
      <c r="F6" s="19">
        <f>156+208+159+258</f>
        <v>781</v>
      </c>
      <c r="G6" s="19">
        <f>138+176+135+126</f>
        <v>575</v>
      </c>
      <c r="H6" s="19"/>
      <c r="I6" s="22">
        <f>222+234+200+211</f>
        <v>867</v>
      </c>
      <c r="J6" s="19"/>
      <c r="K6" s="19"/>
      <c r="L6" s="19"/>
      <c r="M6" s="19"/>
      <c r="N6" s="19"/>
      <c r="O6" s="14"/>
      <c r="P6" s="7">
        <f>SUM(D6:O6)+C6*20</f>
        <v>4157</v>
      </c>
    </row>
    <row r="7" spans="1:16" x14ac:dyDescent="0.2">
      <c r="A7" s="1">
        <f t="shared" si="0"/>
        <v>6</v>
      </c>
      <c r="B7" s="18" t="s">
        <v>2</v>
      </c>
      <c r="C7" s="18">
        <f>ROUNDDOWN((220-ROUNDDOWN(((D7+E7+F7)/12),0))*0.7,0)</f>
        <v>37</v>
      </c>
      <c r="D7" s="19">
        <f>136+157+141+136</f>
        <v>570</v>
      </c>
      <c r="E7" s="19">
        <f>201+172+226+144</f>
        <v>743</v>
      </c>
      <c r="F7" s="19">
        <f>176+173+184+166</f>
        <v>699</v>
      </c>
      <c r="G7" s="19">
        <f>170+220+179+213</f>
        <v>782</v>
      </c>
      <c r="H7" s="19"/>
      <c r="I7" s="19">
        <f>157+140+155+144</f>
        <v>596</v>
      </c>
      <c r="J7" s="19"/>
      <c r="K7" s="19"/>
      <c r="L7" s="19"/>
      <c r="M7" s="19"/>
      <c r="N7" s="19"/>
      <c r="O7" s="15"/>
      <c r="P7" s="7">
        <f>SUM(D7:O7)+C7*20</f>
        <v>4130</v>
      </c>
    </row>
    <row r="8" spans="1:16" x14ac:dyDescent="0.2">
      <c r="A8" s="1">
        <f t="shared" si="0"/>
        <v>7</v>
      </c>
      <c r="B8" s="18" t="s">
        <v>5</v>
      </c>
      <c r="C8" s="18">
        <f>ROUNDDOWN((220-ROUNDDOWN(((D8+G8+E8)/12),0))*0.7,0)</f>
        <v>37</v>
      </c>
      <c r="D8" s="19">
        <f>149+156+170+226</f>
        <v>701</v>
      </c>
      <c r="E8" s="19">
        <f>175+164+139+222</f>
        <v>700</v>
      </c>
      <c r="F8" s="19"/>
      <c r="G8" s="19">
        <f>135+128+188+163</f>
        <v>614</v>
      </c>
      <c r="H8" s="19">
        <f>111+139+111+148</f>
        <v>509</v>
      </c>
      <c r="I8" s="19">
        <f>154+208+172+114</f>
        <v>648</v>
      </c>
      <c r="J8" s="19"/>
      <c r="K8" s="19"/>
      <c r="L8" s="19"/>
      <c r="M8" s="19"/>
      <c r="N8" s="19"/>
      <c r="O8" s="14"/>
      <c r="P8" s="7">
        <f>SUM(D8:O8)+C8*20</f>
        <v>3912</v>
      </c>
    </row>
    <row r="9" spans="1:16" x14ac:dyDescent="0.2">
      <c r="A9" s="1">
        <f t="shared" si="0"/>
        <v>8</v>
      </c>
      <c r="B9" s="18" t="s">
        <v>6</v>
      </c>
      <c r="C9" s="18">
        <f>ROUNDDOWN((220-ROUNDDOWN(((D9+E9+F9)/12),0))*0.7,0)</f>
        <v>37</v>
      </c>
      <c r="D9" s="19">
        <f>184+190+181+123</f>
        <v>678</v>
      </c>
      <c r="E9" s="19">
        <f>153+150+161+184</f>
        <v>648</v>
      </c>
      <c r="F9" s="19">
        <f>185+160+150+183</f>
        <v>678</v>
      </c>
      <c r="G9" s="19">
        <f>138+126+117+113</f>
        <v>494</v>
      </c>
      <c r="H9" s="19"/>
      <c r="I9" s="19">
        <f>119+161+141+96</f>
        <v>517</v>
      </c>
      <c r="J9" s="19"/>
      <c r="K9" s="19"/>
      <c r="L9" s="19"/>
      <c r="M9" s="19"/>
      <c r="N9" s="19"/>
      <c r="O9" s="14"/>
      <c r="P9" s="7">
        <f>SUM(D9:O9)+C9*20</f>
        <v>3755</v>
      </c>
    </row>
    <row r="10" spans="1:16" x14ac:dyDescent="0.2">
      <c r="A10" s="1">
        <f t="shared" si="0"/>
        <v>9</v>
      </c>
      <c r="B10" s="18" t="s">
        <v>16</v>
      </c>
      <c r="C10" s="18">
        <f>ROUNDDOWN((220-ROUNDDOWN(((F10+G10+H10)/12),0))*0.7,0)</f>
        <v>24</v>
      </c>
      <c r="D10" s="19"/>
      <c r="E10" s="19"/>
      <c r="F10" s="22">
        <f>237+156+256+228</f>
        <v>877</v>
      </c>
      <c r="G10" s="19">
        <f>144+197+149+184</f>
        <v>674</v>
      </c>
      <c r="H10" s="19">
        <f>179+165+155+181</f>
        <v>680</v>
      </c>
      <c r="I10" s="19">
        <f>155+217+221+202</f>
        <v>795</v>
      </c>
      <c r="J10" s="19"/>
      <c r="K10" s="19"/>
      <c r="L10" s="19"/>
      <c r="M10" s="19"/>
      <c r="N10" s="19"/>
      <c r="O10" s="14"/>
      <c r="P10" s="7">
        <f>SUM(D10:O10)+C10*16</f>
        <v>3410</v>
      </c>
    </row>
    <row r="11" spans="1:16" x14ac:dyDescent="0.2">
      <c r="A11" s="1">
        <f t="shared" si="0"/>
        <v>10</v>
      </c>
      <c r="B11" s="18" t="s">
        <v>15</v>
      </c>
      <c r="C11" s="18">
        <f>ROUNDDOWN((220-ROUNDDOWN(((E11+G11+F11)/12),0))*0.7,0)</f>
        <v>39</v>
      </c>
      <c r="D11" s="19"/>
      <c r="E11" s="19">
        <f>183+171+125+135</f>
        <v>614</v>
      </c>
      <c r="F11" s="19">
        <f>200+152+153+177</f>
        <v>682</v>
      </c>
      <c r="G11" s="19">
        <f>161+184+173+163</f>
        <v>681</v>
      </c>
      <c r="H11" s="19"/>
      <c r="I11" s="19">
        <f>171+163+119+164</f>
        <v>617</v>
      </c>
      <c r="J11" s="19"/>
      <c r="K11" s="19"/>
      <c r="L11" s="19"/>
      <c r="M11" s="19"/>
      <c r="N11" s="19"/>
      <c r="O11" s="12"/>
      <c r="P11" s="7">
        <f>SUM(D11:O11)+C11*16</f>
        <v>3218</v>
      </c>
    </row>
    <row r="12" spans="1:16" x14ac:dyDescent="0.2">
      <c r="A12" s="1">
        <f t="shared" si="0"/>
        <v>11</v>
      </c>
      <c r="B12" s="18" t="s">
        <v>18</v>
      </c>
      <c r="C12" s="18">
        <f>ROUNDDOWN((220-ROUNDDOWN(((G12+H12+I12)/12),0))*0.7,0)</f>
        <v>11</v>
      </c>
      <c r="D12" s="19"/>
      <c r="E12" s="19"/>
      <c r="F12" s="19"/>
      <c r="G12" s="22">
        <f>176+185+189+266</f>
        <v>816</v>
      </c>
      <c r="H12" s="22">
        <f>214+224+179+226</f>
        <v>843</v>
      </c>
      <c r="I12" s="19">
        <f>172+184+245+178</f>
        <v>779</v>
      </c>
      <c r="J12" s="19"/>
      <c r="K12" s="19"/>
      <c r="L12" s="19"/>
      <c r="M12" s="19"/>
      <c r="N12" s="19"/>
      <c r="O12" s="14"/>
      <c r="P12" s="7">
        <f>SUM(D12:O12)+C12*12</f>
        <v>2570</v>
      </c>
    </row>
    <row r="13" spans="1:16" x14ac:dyDescent="0.2">
      <c r="A13" s="1">
        <f t="shared" si="0"/>
        <v>12</v>
      </c>
      <c r="B13" s="18" t="s">
        <v>17</v>
      </c>
      <c r="C13" s="18">
        <f>ROUNDDOWN((220-ROUNDDOWN(((F13+G13+H13)/12),0))*0.7,0)</f>
        <v>24</v>
      </c>
      <c r="D13" s="19"/>
      <c r="E13" s="19"/>
      <c r="F13" s="19">
        <f>187+205+193+189</f>
        <v>774</v>
      </c>
      <c r="G13" s="19">
        <f>158+182+182+171</f>
        <v>693</v>
      </c>
      <c r="H13" s="19">
        <f>198+202+189+175</f>
        <v>764</v>
      </c>
      <c r="I13" s="19"/>
      <c r="J13" s="19"/>
      <c r="K13" s="19"/>
      <c r="L13" s="19"/>
      <c r="M13" s="19"/>
      <c r="N13" s="19"/>
      <c r="O13" s="12"/>
      <c r="P13" s="7">
        <f>SUM(D13:O13)+C13*12</f>
        <v>2519</v>
      </c>
    </row>
    <row r="14" spans="1:16" x14ac:dyDescent="0.2">
      <c r="A14" s="1">
        <f t="shared" si="0"/>
        <v>13</v>
      </c>
      <c r="B14" s="18" t="s">
        <v>19</v>
      </c>
      <c r="C14" s="18">
        <f>ROUNDDOWN((220-ROUNDDOWN(((G14+H14+I14)/12),0))*0.7,0)</f>
        <v>24</v>
      </c>
      <c r="D14" s="19"/>
      <c r="E14" s="19"/>
      <c r="F14" s="19"/>
      <c r="G14" s="19">
        <f>165+186+220+192</f>
        <v>763</v>
      </c>
      <c r="H14" s="19">
        <f>173+159+208+183</f>
        <v>723</v>
      </c>
      <c r="I14" s="19">
        <f>169+193+218+154</f>
        <v>734</v>
      </c>
      <c r="J14" s="19"/>
      <c r="K14" s="19"/>
      <c r="L14" s="19"/>
      <c r="M14" s="19"/>
      <c r="N14" s="19"/>
      <c r="O14" s="14"/>
      <c r="P14" s="7">
        <f>SUM(D14:O14)+C14*12</f>
        <v>2508</v>
      </c>
    </row>
    <row r="15" spans="1:16" x14ac:dyDescent="0.2">
      <c r="A15" s="1">
        <f t="shared" si="0"/>
        <v>14</v>
      </c>
      <c r="B15" s="18" t="s">
        <v>7</v>
      </c>
      <c r="C15" s="18">
        <f>ROUNDDOWN((220-ROUNDDOWN(((D15+G15+F15)/12),0))*0.7,0)</f>
        <v>34</v>
      </c>
      <c r="D15" s="19">
        <f>168+192+181+179</f>
        <v>720</v>
      </c>
      <c r="E15" s="19"/>
      <c r="F15" s="19">
        <f>210+169+146+164</f>
        <v>689</v>
      </c>
      <c r="G15" s="19">
        <f>139+136+206+168</f>
        <v>649</v>
      </c>
      <c r="H15" s="19"/>
      <c r="I15" s="19"/>
      <c r="J15" s="19"/>
      <c r="K15" s="19"/>
      <c r="L15" s="19"/>
      <c r="M15" s="19"/>
      <c r="N15" s="19"/>
      <c r="O15" s="14"/>
      <c r="P15" s="7">
        <f>SUM(D15:O15)+C15*12</f>
        <v>2466</v>
      </c>
    </row>
    <row r="16" spans="1:16" x14ac:dyDescent="0.2">
      <c r="A16" s="1">
        <f t="shared" si="0"/>
        <v>15</v>
      </c>
      <c r="B16" s="18" t="s">
        <v>21</v>
      </c>
      <c r="C16" s="18">
        <f>ROUNDDOWN((220-ROUNDDOWN(((G16+H16+I16)/12),0))*0.7,0)</f>
        <v>52</v>
      </c>
      <c r="D16" s="19"/>
      <c r="E16" s="19"/>
      <c r="F16" s="19"/>
      <c r="G16" s="19">
        <f>135+103+125+191</f>
        <v>554</v>
      </c>
      <c r="H16" s="19">
        <f>178+157+136+151</f>
        <v>622</v>
      </c>
      <c r="I16" s="19">
        <f>155+128+159+128</f>
        <v>570</v>
      </c>
      <c r="J16" s="19"/>
      <c r="K16" s="19"/>
      <c r="L16" s="19"/>
      <c r="M16" s="19"/>
      <c r="N16" s="19"/>
      <c r="O16" s="14"/>
      <c r="P16" s="7">
        <f>SUM(D16:O16)+C16*12</f>
        <v>2370</v>
      </c>
    </row>
    <row r="17" spans="1:16" x14ac:dyDescent="0.2">
      <c r="A17" s="1">
        <f t="shared" si="0"/>
        <v>16</v>
      </c>
      <c r="B17" s="18" t="s">
        <v>22</v>
      </c>
      <c r="C17" s="18"/>
      <c r="D17" s="19"/>
      <c r="E17" s="19"/>
      <c r="F17" s="19"/>
      <c r="G17" s="19"/>
      <c r="H17" s="19">
        <f>179+181+159+197</f>
        <v>716</v>
      </c>
      <c r="I17" s="19">
        <f>151+180+167+173</f>
        <v>671</v>
      </c>
      <c r="J17" s="19"/>
      <c r="K17" s="19"/>
      <c r="L17" s="19"/>
      <c r="M17" s="19"/>
      <c r="N17" s="19"/>
      <c r="O17" s="12"/>
      <c r="P17" s="7">
        <f>SUM(D17:O17)</f>
        <v>1387</v>
      </c>
    </row>
    <row r="18" spans="1:16" x14ac:dyDescent="0.2">
      <c r="A18" s="1">
        <f t="shared" si="0"/>
        <v>17</v>
      </c>
      <c r="B18" s="18" t="s">
        <v>14</v>
      </c>
      <c r="C18" s="18"/>
      <c r="D18" s="19">
        <f>155+158+204+147</f>
        <v>664</v>
      </c>
      <c r="E18" s="19">
        <f>190+155+210+147</f>
        <v>702</v>
      </c>
      <c r="F18" s="19"/>
      <c r="G18" s="19"/>
      <c r="H18" s="19"/>
      <c r="I18" s="19"/>
      <c r="J18" s="19"/>
      <c r="K18" s="19"/>
      <c r="L18" s="19"/>
      <c r="M18" s="19"/>
      <c r="N18" s="19"/>
      <c r="O18" s="14"/>
      <c r="P18" s="7">
        <f>SUM(D18:O18)</f>
        <v>1366</v>
      </c>
    </row>
    <row r="19" spans="1:16" x14ac:dyDescent="0.2">
      <c r="A19" s="1">
        <f t="shared" si="0"/>
        <v>18</v>
      </c>
      <c r="B19" s="18" t="s">
        <v>23</v>
      </c>
      <c r="C19" s="18"/>
      <c r="D19" s="19"/>
      <c r="E19" s="19"/>
      <c r="F19" s="19"/>
      <c r="G19" s="19"/>
      <c r="H19" s="19">
        <f>175+173+155+154</f>
        <v>657</v>
      </c>
      <c r="I19" s="19">
        <f>182+148+165+189</f>
        <v>684</v>
      </c>
      <c r="J19" s="19"/>
      <c r="K19" s="19"/>
      <c r="L19" s="19"/>
      <c r="M19" s="19"/>
      <c r="N19" s="19"/>
      <c r="O19" s="12"/>
      <c r="P19" s="7">
        <f>SUM(D19:O19)</f>
        <v>1341</v>
      </c>
    </row>
    <row r="20" spans="1:16" x14ac:dyDescent="0.2">
      <c r="A20" s="1">
        <f t="shared" si="0"/>
        <v>19</v>
      </c>
      <c r="B20" s="18" t="s">
        <v>20</v>
      </c>
      <c r="C20" s="18"/>
      <c r="D20" s="19"/>
      <c r="E20" s="19"/>
      <c r="F20" s="19"/>
      <c r="G20" s="19">
        <f>181+177+152+169</f>
        <v>679</v>
      </c>
      <c r="H20" s="19"/>
      <c r="I20" s="19">
        <f>101+146+186+205</f>
        <v>638</v>
      </c>
      <c r="J20" s="19"/>
      <c r="K20" s="19"/>
      <c r="L20" s="19"/>
      <c r="M20" s="19"/>
      <c r="N20" s="19"/>
      <c r="O20" s="12"/>
      <c r="P20" s="7">
        <f>SUM(D20:O20)</f>
        <v>1317</v>
      </c>
    </row>
    <row r="21" spans="1:16" x14ac:dyDescent="0.2">
      <c r="A21" s="1">
        <f t="shared" si="0"/>
        <v>20</v>
      </c>
      <c r="B21" s="18" t="s">
        <v>25</v>
      </c>
      <c r="C21" s="18"/>
      <c r="D21" s="19"/>
      <c r="E21" s="19"/>
      <c r="F21" s="19"/>
      <c r="G21" s="19"/>
      <c r="H21" s="19">
        <f>167+151+233+147</f>
        <v>698</v>
      </c>
      <c r="I21" s="19">
        <f>170+147+140+161</f>
        <v>618</v>
      </c>
      <c r="J21" s="19"/>
      <c r="K21" s="19"/>
      <c r="L21" s="19"/>
      <c r="M21" s="19"/>
      <c r="N21" s="19"/>
      <c r="O21" s="14"/>
      <c r="P21" s="7">
        <f>SUM(D21:O21)</f>
        <v>1316</v>
      </c>
    </row>
    <row r="22" spans="1:16" x14ac:dyDescent="0.2">
      <c r="A22" s="1">
        <f t="shared" si="0"/>
        <v>21</v>
      </c>
      <c r="B22" s="18" t="s">
        <v>24</v>
      </c>
      <c r="C22" s="18"/>
      <c r="D22" s="19"/>
      <c r="E22" s="19"/>
      <c r="F22" s="19"/>
      <c r="G22" s="19"/>
      <c r="H22" s="19">
        <f>148+154+110+159</f>
        <v>571</v>
      </c>
      <c r="I22" s="19">
        <f>138+205+179+212</f>
        <v>734</v>
      </c>
      <c r="J22" s="19"/>
      <c r="K22" s="19"/>
      <c r="L22" s="19"/>
      <c r="M22" s="19"/>
      <c r="N22" s="19"/>
      <c r="O22" s="12"/>
      <c r="P22" s="7">
        <f>SUM(D22:O22)</f>
        <v>1305</v>
      </c>
    </row>
    <row r="23" spans="1:16" x14ac:dyDescent="0.2">
      <c r="A23" s="1">
        <f t="shared" si="0"/>
        <v>22</v>
      </c>
      <c r="B23" s="18" t="s">
        <v>26</v>
      </c>
      <c r="C23" s="18"/>
      <c r="D23" s="19"/>
      <c r="E23" s="19"/>
      <c r="F23" s="19"/>
      <c r="G23" s="19"/>
      <c r="H23" s="19">
        <f>135+183+128+201</f>
        <v>647</v>
      </c>
      <c r="I23" s="19">
        <f>148+179+156+154</f>
        <v>637</v>
      </c>
      <c r="J23" s="19"/>
      <c r="K23" s="19"/>
      <c r="L23" s="19"/>
      <c r="M23" s="19"/>
      <c r="N23" s="19"/>
      <c r="O23" s="14"/>
      <c r="P23" s="7">
        <f>SUM(D23:O23)</f>
        <v>1284</v>
      </c>
    </row>
    <row r="24" spans="1:16" x14ac:dyDescent="0.2">
      <c r="A24" s="1">
        <f t="shared" si="0"/>
        <v>23</v>
      </c>
      <c r="B24" s="18" t="s">
        <v>9</v>
      </c>
      <c r="C24" s="18"/>
      <c r="D24" s="19"/>
      <c r="E24" s="19">
        <f>136+206+153+187</f>
        <v>682</v>
      </c>
      <c r="F24" s="19"/>
      <c r="G24" s="19"/>
      <c r="H24" s="19"/>
      <c r="I24" s="19"/>
      <c r="J24" s="19"/>
      <c r="K24" s="19"/>
      <c r="L24" s="19"/>
      <c r="M24" s="19"/>
      <c r="N24" s="19"/>
      <c r="O24" s="12"/>
      <c r="P24" s="7">
        <f>SUM(D24:O24)</f>
        <v>682</v>
      </c>
    </row>
    <row r="25" spans="1:16" x14ac:dyDescent="0.2">
      <c r="A25" s="1">
        <f t="shared" si="0"/>
        <v>24</v>
      </c>
      <c r="B25" s="18" t="s">
        <v>9</v>
      </c>
      <c r="C25" s="18"/>
      <c r="D25" s="19">
        <f>152+171+149+157</f>
        <v>629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4"/>
      <c r="P25" s="7">
        <f>SUM(D25:O25)</f>
        <v>629</v>
      </c>
    </row>
    <row r="26" spans="1:16" x14ac:dyDescent="0.2">
      <c r="A26" s="1">
        <f t="shared" si="0"/>
        <v>25</v>
      </c>
      <c r="B26" s="18" t="s">
        <v>10</v>
      </c>
      <c r="C26" s="18"/>
      <c r="D26" s="19">
        <f>138+155+159+168</f>
        <v>620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4"/>
      <c r="P26" s="7">
        <f>SUM(D26:O26)</f>
        <v>620</v>
      </c>
    </row>
    <row r="27" spans="1:16" x14ac:dyDescent="0.2">
      <c r="A27" s="1">
        <f t="shared" si="0"/>
        <v>26</v>
      </c>
      <c r="B27" s="18" t="s">
        <v>13</v>
      </c>
      <c r="C27" s="18"/>
      <c r="D27" s="19"/>
      <c r="E27" s="19">
        <f>156+167+149+143</f>
        <v>615</v>
      </c>
      <c r="F27" s="19"/>
      <c r="G27" s="19"/>
      <c r="H27" s="19"/>
      <c r="I27" s="19"/>
      <c r="J27" s="19"/>
      <c r="K27" s="19"/>
      <c r="L27" s="19"/>
      <c r="M27" s="19"/>
      <c r="N27" s="19"/>
      <c r="O27" s="14"/>
      <c r="P27" s="7">
        <f>SUM(D27:O27)</f>
        <v>615</v>
      </c>
    </row>
    <row r="28" spans="1:16" x14ac:dyDescent="0.2">
      <c r="A28" s="1">
        <f t="shared" si="0"/>
        <v>27</v>
      </c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4"/>
      <c r="P28" s="7">
        <f t="shared" ref="P28:P36" si="1">SUM(D28:O28)</f>
        <v>0</v>
      </c>
    </row>
    <row r="29" spans="1:16" x14ac:dyDescent="0.2">
      <c r="A29" s="1">
        <f t="shared" si="0"/>
        <v>28</v>
      </c>
      <c r="B29" s="18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4"/>
      <c r="P29" s="7">
        <f t="shared" si="1"/>
        <v>0</v>
      </c>
    </row>
    <row r="30" spans="1:16" x14ac:dyDescent="0.2">
      <c r="A30" s="1">
        <f t="shared" si="0"/>
        <v>29</v>
      </c>
      <c r="B30" s="18"/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4"/>
      <c r="P30" s="7">
        <f t="shared" si="1"/>
        <v>0</v>
      </c>
    </row>
    <row r="31" spans="1:16" x14ac:dyDescent="0.2">
      <c r="A31" s="1">
        <f t="shared" si="0"/>
        <v>30</v>
      </c>
      <c r="B31" s="18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4"/>
      <c r="P31" s="7">
        <f t="shared" si="1"/>
        <v>0</v>
      </c>
    </row>
    <row r="32" spans="1:16" x14ac:dyDescent="0.2">
      <c r="A32" s="1">
        <f t="shared" si="0"/>
        <v>31</v>
      </c>
      <c r="B32" s="18"/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4"/>
      <c r="P32" s="7">
        <f t="shared" si="1"/>
        <v>0</v>
      </c>
    </row>
    <row r="33" spans="1:16" x14ac:dyDescent="0.2">
      <c r="A33" s="1">
        <f t="shared" si="0"/>
        <v>32</v>
      </c>
      <c r="B33" s="18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4"/>
      <c r="P33" s="7">
        <f t="shared" si="1"/>
        <v>0</v>
      </c>
    </row>
    <row r="34" spans="1:16" x14ac:dyDescent="0.2">
      <c r="A34" s="1">
        <f t="shared" si="0"/>
        <v>33</v>
      </c>
      <c r="B34" s="18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6"/>
      <c r="P34" s="7">
        <f t="shared" si="1"/>
        <v>0</v>
      </c>
    </row>
    <row r="35" spans="1:16" x14ac:dyDescent="0.2">
      <c r="A35" s="1">
        <f t="shared" si="0"/>
        <v>34</v>
      </c>
      <c r="B35" s="20"/>
      <c r="C35" s="20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7"/>
      <c r="P35" s="7">
        <f t="shared" si="1"/>
        <v>0</v>
      </c>
    </row>
    <row r="36" spans="1:16" x14ac:dyDescent="0.2">
      <c r="A36" s="1">
        <f t="shared" si="0"/>
        <v>35</v>
      </c>
      <c r="B36" s="8"/>
      <c r="C36" s="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7">
        <f t="shared" si="1"/>
        <v>0</v>
      </c>
    </row>
    <row r="37" spans="1:16" x14ac:dyDescent="0.2">
      <c r="A37" s="1">
        <f t="shared" si="0"/>
        <v>36</v>
      </c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9">
        <f t="shared" ref="P37" si="2">SUM(D37:O37)</f>
        <v>0</v>
      </c>
    </row>
    <row r="38" spans="1:16" x14ac:dyDescent="0.2">
      <c r="A38" t="s">
        <v>0</v>
      </c>
      <c r="P38" s="2">
        <f t="shared" ref="P38" si="3">SUM(D38:O38)</f>
        <v>0</v>
      </c>
    </row>
    <row r="39" spans="1:16" x14ac:dyDescent="0.2">
      <c r="P39" s="2">
        <f>P38*8</f>
        <v>0</v>
      </c>
    </row>
    <row r="40" spans="1:16" x14ac:dyDescent="0.2">
      <c r="E40" s="3" t="s">
        <v>1</v>
      </c>
    </row>
    <row r="41" spans="1:16" x14ac:dyDescent="0.2">
      <c r="B41" s="6"/>
      <c r="D41">
        <v>1</v>
      </c>
      <c r="E41">
        <v>15</v>
      </c>
      <c r="F41" s="4">
        <f>P39*E41/100</f>
        <v>0</v>
      </c>
    </row>
    <row r="42" spans="1:16" x14ac:dyDescent="0.2">
      <c r="B42" s="6"/>
      <c r="D42">
        <f>D41+1</f>
        <v>2</v>
      </c>
      <c r="E42">
        <v>13</v>
      </c>
      <c r="F42" s="4">
        <f>$P$39*E42/100</f>
        <v>0</v>
      </c>
    </row>
    <row r="43" spans="1:16" x14ac:dyDescent="0.2">
      <c r="B43" s="6"/>
      <c r="D43">
        <f t="shared" ref="D43:D58" si="4">D42+1</f>
        <v>3</v>
      </c>
      <c r="E43">
        <v>11</v>
      </c>
      <c r="F43" s="4">
        <f t="shared" ref="F43:F58" si="5">$P$39*E43/100</f>
        <v>0</v>
      </c>
    </row>
    <row r="44" spans="1:16" x14ac:dyDescent="0.2">
      <c r="B44" s="6"/>
      <c r="D44">
        <f t="shared" si="4"/>
        <v>4</v>
      </c>
      <c r="E44">
        <v>9</v>
      </c>
      <c r="F44" s="4">
        <f t="shared" si="5"/>
        <v>0</v>
      </c>
    </row>
    <row r="45" spans="1:16" x14ac:dyDescent="0.2">
      <c r="B45" s="6"/>
      <c r="D45">
        <f t="shared" si="4"/>
        <v>5</v>
      </c>
      <c r="E45">
        <v>8</v>
      </c>
      <c r="F45" s="13">
        <f t="shared" si="5"/>
        <v>0</v>
      </c>
    </row>
    <row r="46" spans="1:16" x14ac:dyDescent="0.2">
      <c r="B46" s="6"/>
      <c r="D46">
        <f t="shared" si="4"/>
        <v>6</v>
      </c>
      <c r="E46">
        <v>7</v>
      </c>
      <c r="F46" s="13">
        <f t="shared" si="5"/>
        <v>0</v>
      </c>
    </row>
    <row r="47" spans="1:16" x14ac:dyDescent="0.2">
      <c r="B47" s="6"/>
      <c r="D47">
        <f t="shared" si="4"/>
        <v>7</v>
      </c>
      <c r="E47">
        <v>6</v>
      </c>
      <c r="F47" s="13">
        <f t="shared" si="5"/>
        <v>0</v>
      </c>
    </row>
    <row r="48" spans="1:16" x14ac:dyDescent="0.2">
      <c r="B48" s="6"/>
      <c r="D48">
        <f t="shared" si="4"/>
        <v>8</v>
      </c>
      <c r="E48">
        <v>5</v>
      </c>
      <c r="F48" s="13">
        <f t="shared" si="5"/>
        <v>0</v>
      </c>
    </row>
    <row r="49" spans="2:6" x14ac:dyDescent="0.2">
      <c r="B49" s="6"/>
      <c r="D49">
        <f t="shared" si="4"/>
        <v>9</v>
      </c>
      <c r="E49">
        <v>5</v>
      </c>
      <c r="F49" s="13">
        <f t="shared" si="5"/>
        <v>0</v>
      </c>
    </row>
    <row r="50" spans="2:6" x14ac:dyDescent="0.2">
      <c r="B50" s="6"/>
      <c r="D50">
        <f t="shared" si="4"/>
        <v>10</v>
      </c>
      <c r="E50">
        <v>4</v>
      </c>
      <c r="F50" s="13">
        <f t="shared" si="5"/>
        <v>0</v>
      </c>
    </row>
    <row r="51" spans="2:6" x14ac:dyDescent="0.2">
      <c r="B51" s="6"/>
      <c r="D51">
        <f t="shared" si="4"/>
        <v>11</v>
      </c>
      <c r="E51">
        <v>4</v>
      </c>
      <c r="F51" s="13">
        <f t="shared" si="5"/>
        <v>0</v>
      </c>
    </row>
    <row r="52" spans="2:6" x14ac:dyDescent="0.2">
      <c r="B52" s="6"/>
      <c r="D52">
        <f t="shared" si="4"/>
        <v>12</v>
      </c>
      <c r="E52">
        <v>3</v>
      </c>
      <c r="F52" s="13">
        <f t="shared" si="5"/>
        <v>0</v>
      </c>
    </row>
    <row r="53" spans="2:6" x14ac:dyDescent="0.2">
      <c r="B53" s="6"/>
      <c r="D53">
        <f t="shared" si="4"/>
        <v>13</v>
      </c>
      <c r="E53">
        <v>3</v>
      </c>
      <c r="F53" s="13">
        <f t="shared" si="5"/>
        <v>0</v>
      </c>
    </row>
    <row r="54" spans="2:6" x14ac:dyDescent="0.2">
      <c r="B54" s="6"/>
      <c r="D54">
        <f t="shared" si="4"/>
        <v>14</v>
      </c>
      <c r="E54">
        <v>2</v>
      </c>
      <c r="F54" s="13">
        <f t="shared" si="5"/>
        <v>0</v>
      </c>
    </row>
    <row r="55" spans="2:6" x14ac:dyDescent="0.2">
      <c r="B55" s="6"/>
      <c r="D55">
        <f t="shared" si="4"/>
        <v>15</v>
      </c>
      <c r="E55">
        <v>2</v>
      </c>
      <c r="F55" s="13">
        <f t="shared" si="5"/>
        <v>0</v>
      </c>
    </row>
    <row r="56" spans="2:6" x14ac:dyDescent="0.2">
      <c r="B56" s="6"/>
      <c r="D56">
        <f t="shared" si="4"/>
        <v>16</v>
      </c>
      <c r="E56">
        <v>1</v>
      </c>
      <c r="F56" s="13">
        <f t="shared" si="5"/>
        <v>0</v>
      </c>
    </row>
    <row r="57" spans="2:6" x14ac:dyDescent="0.2">
      <c r="B57" s="6"/>
      <c r="D57">
        <f t="shared" si="4"/>
        <v>17</v>
      </c>
      <c r="E57">
        <v>1</v>
      </c>
      <c r="F57" s="13">
        <f t="shared" si="5"/>
        <v>0</v>
      </c>
    </row>
    <row r="58" spans="2:6" x14ac:dyDescent="0.2">
      <c r="B58" s="6"/>
      <c r="D58">
        <f t="shared" si="4"/>
        <v>18</v>
      </c>
      <c r="E58">
        <v>1</v>
      </c>
      <c r="F58" s="13">
        <f t="shared" si="5"/>
        <v>0</v>
      </c>
    </row>
    <row r="61" spans="2:6" x14ac:dyDescent="0.2">
      <c r="F61" s="4">
        <f>SUM(F41:F58)</f>
        <v>0</v>
      </c>
    </row>
  </sheetData>
  <sortState xmlns:xlrd2="http://schemas.microsoft.com/office/spreadsheetml/2017/richdata2" ref="B2:P27">
    <sortCondition descending="1" ref="P2:P27"/>
  </sortState>
  <mergeCells count="1">
    <mergeCell ref="B1:C1"/>
  </mergeCells>
  <phoneticPr fontId="4" type="noConversion"/>
  <pageMargins left="0.75196850393700787" right="0.44094488188976383" top="0.57086614173228345" bottom="1" header="0.38188976377952755" footer="0.5"/>
  <pageSetup paperSize="9" scale="59" orientation="landscape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Bowling de la Matène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M-A Buttery</dc:creator>
  <cp:lastModifiedBy>Staff</cp:lastModifiedBy>
  <cp:lastPrinted>2022-07-28T09:51:03Z</cp:lastPrinted>
  <dcterms:created xsi:type="dcterms:W3CDTF">2015-07-09T14:35:59Z</dcterms:created>
  <dcterms:modified xsi:type="dcterms:W3CDTF">2022-07-28T09:51:59Z</dcterms:modified>
</cp:coreProperties>
</file>